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madu/Downloads/"/>
    </mc:Choice>
  </mc:AlternateContent>
  <bookViews>
    <workbookView xWindow="0" yWindow="460" windowWidth="30280" windowHeight="17000" tabRatio="739"/>
  </bookViews>
  <sheets>
    <sheet name=" Global IDP" sheetId="24" r:id="rId1"/>
    <sheet name=" Global Refugees" sheetId="20" r:id="rId2"/>
    <sheet name="Situation and Fund summary" sheetId="12" r:id="rId3"/>
    <sheet name="Results by sector" sheetId="17" r:id="rId4"/>
    <sheet name="Results by country" sheetId="18" r:id="rId5"/>
    <sheet name="Results Ref merged per country" sheetId="23" r:id="rId6"/>
  </sheets>
  <externalReferences>
    <externalReference r:id="rId7"/>
    <externalReference r:id="rId8"/>
    <externalReference r:id="rId9"/>
  </externalReferences>
  <definedNames>
    <definedName name="_xlnm.Print_Area" localSheetId="2">'Situation and Fund summary'!#REF!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0" l="1"/>
  <c r="N4" i="12"/>
  <c r="N6" i="12"/>
  <c r="N5" i="12"/>
  <c r="N3" i="12"/>
  <c r="G5" i="18"/>
  <c r="F5" i="18"/>
  <c r="L22" i="20"/>
  <c r="G33" i="12"/>
  <c r="G34" i="12"/>
  <c r="F34" i="12"/>
  <c r="E34" i="12"/>
  <c r="E33" i="12"/>
  <c r="E32" i="12"/>
  <c r="C34" i="12"/>
  <c r="N23" i="23"/>
  <c r="N22" i="23"/>
  <c r="N21" i="23"/>
  <c r="N20" i="23"/>
  <c r="N19" i="23"/>
  <c r="M23" i="23"/>
  <c r="M22" i="23"/>
  <c r="M21" i="23"/>
  <c r="M20" i="23"/>
  <c r="M19" i="23"/>
  <c r="L5" i="20"/>
  <c r="P13" i="20"/>
  <c r="P14" i="20"/>
  <c r="L14" i="20"/>
  <c r="G113" i="18"/>
  <c r="G112" i="18"/>
  <c r="L20" i="23"/>
  <c r="L21" i="23"/>
  <c r="L22" i="23"/>
  <c r="L23" i="23"/>
  <c r="O6" i="23"/>
  <c r="O5" i="23"/>
  <c r="E50" i="17"/>
  <c r="E45" i="17"/>
  <c r="E40" i="17"/>
  <c r="N32" i="12"/>
  <c r="C7" i="20"/>
  <c r="O14" i="17"/>
  <c r="P10" i="17"/>
  <c r="O10" i="17"/>
  <c r="D34" i="12"/>
  <c r="D18" i="23"/>
  <c r="O21" i="23"/>
  <c r="E82" i="17"/>
  <c r="E81" i="17"/>
  <c r="E80" i="17"/>
  <c r="E79" i="17"/>
  <c r="E78" i="17"/>
  <c r="D82" i="17"/>
  <c r="D81" i="17"/>
  <c r="D80" i="17"/>
  <c r="D79" i="17"/>
  <c r="D78" i="17"/>
  <c r="E75" i="17"/>
  <c r="D75" i="17"/>
  <c r="E74" i="17"/>
  <c r="D74" i="17"/>
  <c r="E73" i="17"/>
  <c r="D73" i="17"/>
  <c r="E72" i="17"/>
  <c r="D72" i="17"/>
  <c r="H28" i="12"/>
  <c r="G28" i="12"/>
  <c r="I6" i="12"/>
  <c r="C32" i="12"/>
  <c r="T6" i="17"/>
  <c r="T2" i="17"/>
  <c r="T3" i="17"/>
  <c r="T4" i="17"/>
  <c r="T5" i="17"/>
  <c r="S2" i="17"/>
  <c r="S3" i="17"/>
  <c r="S4" i="17"/>
  <c r="S5" i="17"/>
  <c r="S6" i="17"/>
  <c r="G82" i="17"/>
  <c r="F82" i="17"/>
  <c r="G81" i="17"/>
  <c r="F81" i="17"/>
  <c r="G80" i="17"/>
  <c r="F80" i="17"/>
  <c r="G79" i="17"/>
  <c r="F79" i="17"/>
  <c r="G78" i="17"/>
  <c r="F78" i="17"/>
  <c r="Q4" i="17"/>
  <c r="Q5" i="17"/>
  <c r="Q6" i="17"/>
  <c r="Q3" i="17"/>
  <c r="P6" i="17"/>
  <c r="P5" i="17"/>
  <c r="P4" i="17"/>
  <c r="P3" i="17"/>
  <c r="P1" i="17"/>
  <c r="Q1" i="17"/>
  <c r="Q2" i="17"/>
  <c r="P2" i="17"/>
  <c r="D3" i="17"/>
  <c r="F3" i="17"/>
  <c r="E3" i="17"/>
  <c r="G3" i="17"/>
  <c r="D4" i="17"/>
  <c r="E4" i="17"/>
  <c r="D5" i="17"/>
  <c r="E5" i="17"/>
  <c r="G5" i="17"/>
  <c r="F5" i="17"/>
  <c r="F4" i="17"/>
  <c r="G4" i="17"/>
  <c r="C33" i="12"/>
  <c r="F32" i="12"/>
  <c r="G32" i="12"/>
  <c r="F33" i="12"/>
  <c r="P17" i="20"/>
  <c r="P16" i="20"/>
  <c r="P15" i="20"/>
  <c r="I10" i="20"/>
  <c r="M5" i="20"/>
  <c r="M6" i="20"/>
  <c r="P18" i="20"/>
  <c r="Q13" i="20"/>
  <c r="I26" i="12"/>
  <c r="J26" i="12"/>
  <c r="I27" i="12"/>
  <c r="J27" i="12"/>
  <c r="R23" i="20"/>
  <c r="R24" i="20"/>
  <c r="R25" i="20"/>
  <c r="R26" i="20"/>
  <c r="R27" i="20"/>
  <c r="R28" i="20"/>
  <c r="R29" i="20"/>
  <c r="R22" i="20"/>
  <c r="N6" i="20"/>
  <c r="N7" i="20"/>
  <c r="N8" i="20"/>
  <c r="N9" i="20"/>
  <c r="N5" i="20"/>
  <c r="L15" i="20"/>
  <c r="L16" i="20"/>
  <c r="L17" i="20"/>
  <c r="Q17" i="20"/>
  <c r="Q16" i="20"/>
  <c r="Q15" i="20"/>
  <c r="Q14" i="20"/>
  <c r="M7" i="20"/>
  <c r="M8" i="20"/>
  <c r="M9" i="20"/>
  <c r="N26" i="20"/>
  <c r="N25" i="20"/>
  <c r="N24" i="20"/>
  <c r="N23" i="20"/>
  <c r="N22" i="20"/>
  <c r="N21" i="20"/>
  <c r="L24" i="20"/>
  <c r="P23" i="20"/>
  <c r="L29" i="20"/>
  <c r="P21" i="20"/>
  <c r="L27" i="20"/>
  <c r="P26" i="20"/>
  <c r="L26" i="20"/>
  <c r="P25" i="20"/>
  <c r="L25" i="20"/>
  <c r="P24" i="20"/>
  <c r="P22" i="20"/>
  <c r="N27" i="20"/>
  <c r="O23" i="20"/>
  <c r="P27" i="20"/>
  <c r="E19" i="20"/>
  <c r="D11" i="20"/>
  <c r="D12" i="20"/>
  <c r="D13" i="20"/>
  <c r="D14" i="20"/>
  <c r="D16" i="20"/>
  <c r="D17" i="20"/>
  <c r="B6" i="20"/>
  <c r="D6" i="20"/>
  <c r="C12" i="20"/>
  <c r="E12" i="20"/>
  <c r="C13" i="20"/>
  <c r="E13" i="20"/>
  <c r="C14" i="20"/>
  <c r="C16" i="20"/>
  <c r="C17" i="20"/>
  <c r="E17" i="20"/>
  <c r="C11" i="20"/>
  <c r="E11" i="20"/>
  <c r="B5" i="20"/>
  <c r="C5" i="20"/>
  <c r="E5" i="20"/>
  <c r="B4" i="20"/>
  <c r="B3" i="20"/>
  <c r="C3" i="20"/>
  <c r="E3" i="20"/>
  <c r="B2" i="20"/>
  <c r="M34" i="20"/>
  <c r="I30" i="20"/>
  <c r="R30" i="20"/>
  <c r="U51" i="18"/>
  <c r="R48" i="18"/>
  <c r="R49" i="18"/>
  <c r="R50" i="18"/>
  <c r="R51" i="18"/>
  <c r="R47" i="18"/>
  <c r="C6" i="20"/>
  <c r="E16" i="20"/>
  <c r="E14" i="20"/>
  <c r="E6" i="20"/>
  <c r="O22" i="20"/>
  <c r="O24" i="20"/>
  <c r="O21" i="20"/>
  <c r="O25" i="20"/>
  <c r="O26" i="20"/>
  <c r="P28" i="20"/>
  <c r="Q25" i="20"/>
  <c r="Q24" i="20"/>
  <c r="Q22" i="20"/>
  <c r="Q23" i="20"/>
  <c r="Q21" i="20"/>
  <c r="Q26" i="20"/>
  <c r="E7" i="20"/>
  <c r="B20" i="24"/>
  <c r="O27" i="20"/>
  <c r="Q27" i="20"/>
  <c r="E9" i="17"/>
  <c r="D9" i="17"/>
  <c r="D20" i="23"/>
  <c r="M14" i="23"/>
  <c r="M13" i="23"/>
  <c r="M12" i="23"/>
  <c r="M11" i="23"/>
  <c r="M10" i="23"/>
  <c r="L14" i="23"/>
  <c r="L13" i="23"/>
  <c r="L12" i="23"/>
  <c r="L11" i="23"/>
  <c r="L10" i="23"/>
  <c r="L6" i="23"/>
  <c r="E14" i="23"/>
  <c r="G14" i="23"/>
  <c r="D14" i="23"/>
  <c r="E12" i="23"/>
  <c r="G12" i="23"/>
  <c r="D12" i="23"/>
  <c r="E11" i="23"/>
  <c r="D11" i="23"/>
  <c r="E10" i="23"/>
  <c r="F10" i="23"/>
  <c r="D10" i="23"/>
  <c r="M6" i="23"/>
  <c r="M5" i="23"/>
  <c r="L5" i="23"/>
  <c r="M4" i="23"/>
  <c r="L4" i="23"/>
  <c r="M3" i="23"/>
  <c r="L3" i="23"/>
  <c r="M2" i="23"/>
  <c r="L2" i="23"/>
  <c r="E6" i="23"/>
  <c r="D6" i="23"/>
  <c r="E5" i="23"/>
  <c r="D5" i="23"/>
  <c r="E4" i="23"/>
  <c r="D4" i="23"/>
  <c r="E3" i="23"/>
  <c r="D3" i="23"/>
  <c r="D19" i="23"/>
  <c r="E2" i="23"/>
  <c r="D2" i="23"/>
  <c r="D22" i="23"/>
  <c r="G5" i="23"/>
  <c r="O20" i="23"/>
  <c r="E18" i="23"/>
  <c r="G18" i="23"/>
  <c r="N6" i="23"/>
  <c r="G10" i="23"/>
  <c r="E21" i="23"/>
  <c r="G4" i="23"/>
  <c r="E19" i="23"/>
  <c r="G19" i="23"/>
  <c r="G2" i="23"/>
  <c r="F2" i="23"/>
  <c r="G6" i="23"/>
  <c r="O3" i="23"/>
  <c r="F12" i="23"/>
  <c r="O2" i="23"/>
  <c r="O4" i="23"/>
  <c r="E22" i="23"/>
  <c r="G22" i="23"/>
  <c r="E20" i="23"/>
  <c r="G20" i="23"/>
  <c r="D21" i="23"/>
  <c r="O14" i="23"/>
  <c r="O13" i="23"/>
  <c r="N12" i="23"/>
  <c r="O11" i="23"/>
  <c r="O10" i="23"/>
  <c r="N14" i="23"/>
  <c r="N13" i="23"/>
  <c r="O12" i="23"/>
  <c r="N11" i="23"/>
  <c r="N10" i="23"/>
  <c r="F14" i="23"/>
  <c r="G11" i="23"/>
  <c r="F11" i="23"/>
  <c r="N5" i="23"/>
  <c r="N4" i="23"/>
  <c r="N3" i="23"/>
  <c r="N2" i="23"/>
  <c r="F6" i="23"/>
  <c r="F5" i="23"/>
  <c r="F4" i="23"/>
  <c r="G3" i="23"/>
  <c r="F3" i="23"/>
  <c r="F106" i="18"/>
  <c r="F107" i="18"/>
  <c r="F108" i="18"/>
  <c r="F109" i="18"/>
  <c r="F105" i="18"/>
  <c r="F102" i="18"/>
  <c r="O23" i="23"/>
  <c r="O22" i="23"/>
  <c r="F21" i="23"/>
  <c r="F18" i="23"/>
  <c r="F22" i="23"/>
  <c r="G21" i="23"/>
  <c r="F19" i="23"/>
  <c r="F20" i="23"/>
  <c r="B15" i="20"/>
  <c r="B10" i="20"/>
  <c r="C10" i="20"/>
  <c r="E10" i="20"/>
  <c r="B9" i="20"/>
  <c r="C9" i="20"/>
  <c r="E9" i="20"/>
  <c r="B8" i="20"/>
  <c r="D8" i="20"/>
  <c r="C15" i="20"/>
  <c r="D15" i="20"/>
  <c r="D20" i="20"/>
  <c r="A25" i="20"/>
  <c r="B25" i="20"/>
  <c r="B18" i="20"/>
  <c r="C8" i="20"/>
  <c r="E8" i="20"/>
  <c r="E15" i="20"/>
  <c r="M3" i="12"/>
  <c r="M26" i="12"/>
  <c r="N26" i="12"/>
  <c r="N25" i="12"/>
  <c r="M24" i="12"/>
  <c r="N24" i="12"/>
  <c r="E74" i="18"/>
  <c r="E73" i="18"/>
  <c r="E72" i="18"/>
  <c r="E71" i="18"/>
  <c r="E70" i="18"/>
  <c r="D74" i="18"/>
  <c r="D73" i="18"/>
  <c r="D72" i="18"/>
  <c r="D71" i="18"/>
  <c r="D70" i="18"/>
  <c r="G116" i="18"/>
  <c r="G115" i="18"/>
  <c r="G114" i="18"/>
  <c r="G109" i="18"/>
  <c r="G108" i="18"/>
  <c r="G107" i="18"/>
  <c r="G106" i="18"/>
  <c r="G105" i="18"/>
  <c r="I23" i="12"/>
  <c r="J24" i="12"/>
  <c r="I4" i="12"/>
  <c r="I25" i="12"/>
  <c r="J23" i="12"/>
  <c r="I24" i="12"/>
  <c r="J25" i="12"/>
  <c r="E34" i="18"/>
  <c r="D34" i="18"/>
  <c r="D33" i="18"/>
  <c r="D32" i="18"/>
  <c r="D31" i="18"/>
  <c r="D30" i="18"/>
  <c r="G17" i="18"/>
  <c r="G18" i="18"/>
  <c r="G19" i="18"/>
  <c r="G20" i="18"/>
  <c r="F17" i="18"/>
  <c r="F18" i="18"/>
  <c r="F19" i="18"/>
  <c r="F20" i="18"/>
  <c r="E3" i="18"/>
  <c r="D3" i="18"/>
  <c r="H31" i="20"/>
  <c r="I31" i="20"/>
  <c r="J31" i="20"/>
  <c r="M15" i="12"/>
  <c r="N15" i="12"/>
  <c r="M14" i="12"/>
  <c r="M13" i="12"/>
  <c r="M4" i="12"/>
  <c r="M5" i="12"/>
  <c r="M23" i="12"/>
  <c r="M22" i="12"/>
  <c r="N22" i="12"/>
  <c r="M21" i="12"/>
  <c r="N21" i="12"/>
  <c r="N23" i="12"/>
  <c r="G102" i="18"/>
  <c r="G101" i="18"/>
  <c r="F101" i="18"/>
  <c r="G100" i="18"/>
  <c r="F100" i="18"/>
  <c r="G99" i="18"/>
  <c r="F99" i="18"/>
  <c r="G98" i="18"/>
  <c r="F98" i="18"/>
  <c r="F58" i="18"/>
  <c r="F73" i="18"/>
  <c r="G72" i="18"/>
  <c r="G70" i="18"/>
  <c r="G74" i="18"/>
  <c r="G73" i="18"/>
  <c r="F72" i="18"/>
  <c r="F71" i="18"/>
  <c r="F74" i="18"/>
  <c r="G71" i="18"/>
  <c r="F70" i="18"/>
  <c r="E35" i="18"/>
  <c r="E33" i="18"/>
  <c r="E32" i="18"/>
  <c r="E31" i="18"/>
  <c r="E30" i="18"/>
  <c r="D35" i="18"/>
  <c r="G95" i="18"/>
  <c r="F95" i="18"/>
  <c r="G94" i="18"/>
  <c r="F94" i="18"/>
  <c r="G93" i="18"/>
  <c r="F93" i="18"/>
  <c r="G92" i="18"/>
  <c r="F92" i="18"/>
  <c r="G91" i="18"/>
  <c r="F91" i="18"/>
  <c r="G88" i="18"/>
  <c r="F88" i="18"/>
  <c r="G87" i="18"/>
  <c r="F87" i="18"/>
  <c r="G86" i="18"/>
  <c r="F86" i="18"/>
  <c r="G85" i="18"/>
  <c r="F85" i="18"/>
  <c r="G84" i="18"/>
  <c r="F84" i="18"/>
  <c r="I39" i="20"/>
  <c r="F61" i="18"/>
  <c r="G62" i="18"/>
  <c r="G63" i="18"/>
  <c r="G65" i="18"/>
  <c r="F64" i="18"/>
  <c r="F65" i="18"/>
  <c r="G64" i="18"/>
  <c r="F63" i="18"/>
  <c r="F62" i="18"/>
  <c r="G61" i="18"/>
  <c r="Q12" i="12"/>
  <c r="F40" i="18"/>
  <c r="G50" i="18"/>
  <c r="F50" i="18"/>
  <c r="G42" i="18"/>
  <c r="F42" i="18"/>
  <c r="F34" i="18"/>
  <c r="G34" i="18"/>
  <c r="N13" i="12"/>
  <c r="N12" i="12"/>
  <c r="N14" i="12"/>
  <c r="D6" i="18"/>
  <c r="I14" i="12"/>
  <c r="J14" i="12"/>
  <c r="F10" i="20"/>
  <c r="G10" i="20"/>
  <c r="H10" i="20"/>
  <c r="J39" i="20"/>
  <c r="F39" i="20"/>
  <c r="F31" i="20"/>
  <c r="F18" i="20"/>
  <c r="H39" i="20"/>
  <c r="G39" i="20"/>
  <c r="G31" i="20"/>
  <c r="J18" i="20"/>
  <c r="H18" i="20"/>
  <c r="G18" i="20"/>
  <c r="J10" i="20"/>
  <c r="I13" i="12"/>
  <c r="J13" i="12"/>
  <c r="D2" i="18"/>
  <c r="G43" i="18"/>
  <c r="F43" i="18"/>
  <c r="G41" i="18"/>
  <c r="F41" i="18"/>
  <c r="G40" i="18"/>
  <c r="G39" i="18"/>
  <c r="F39" i="18"/>
  <c r="G38" i="18"/>
  <c r="F38" i="18"/>
  <c r="F81" i="18"/>
  <c r="F80" i="18"/>
  <c r="F79" i="18"/>
  <c r="F78" i="18"/>
  <c r="F77" i="18"/>
  <c r="F57" i="18"/>
  <c r="F56" i="18"/>
  <c r="F55" i="18"/>
  <c r="F54" i="18"/>
  <c r="F51" i="18"/>
  <c r="F49" i="18"/>
  <c r="F48" i="18"/>
  <c r="F47" i="18"/>
  <c r="F46" i="18"/>
  <c r="F27" i="18"/>
  <c r="F26" i="18"/>
  <c r="F25" i="18"/>
  <c r="F24" i="18"/>
  <c r="F23" i="18"/>
  <c r="F16" i="18"/>
  <c r="F12" i="18"/>
  <c r="F13" i="18"/>
  <c r="F11" i="18"/>
  <c r="F10" i="18"/>
  <c r="F9" i="18"/>
  <c r="E8" i="17"/>
  <c r="J22" i="12"/>
  <c r="H7" i="12"/>
  <c r="F7" i="12"/>
  <c r="G7" i="12"/>
  <c r="H16" i="12"/>
  <c r="G16" i="12"/>
  <c r="E16" i="12"/>
  <c r="F75" i="17"/>
  <c r="C75" i="17"/>
  <c r="B75" i="17"/>
  <c r="A75" i="17"/>
  <c r="F74" i="17"/>
  <c r="C74" i="17"/>
  <c r="B74" i="17"/>
  <c r="A74" i="17"/>
  <c r="C73" i="17"/>
  <c r="B73" i="17"/>
  <c r="A73" i="17"/>
  <c r="C72" i="17"/>
  <c r="B72" i="17"/>
  <c r="A72" i="17"/>
  <c r="E71" i="17"/>
  <c r="D71" i="17"/>
  <c r="C71" i="17"/>
  <c r="B71" i="17"/>
  <c r="A71" i="17"/>
  <c r="E60" i="17"/>
  <c r="E59" i="17"/>
  <c r="E58" i="17"/>
  <c r="D60" i="17"/>
  <c r="D59" i="17"/>
  <c r="D58" i="17"/>
  <c r="E55" i="17"/>
  <c r="E54" i="17"/>
  <c r="E53" i="17"/>
  <c r="D55" i="17"/>
  <c r="D54" i="17"/>
  <c r="D53" i="17"/>
  <c r="E49" i="17"/>
  <c r="E47" i="17"/>
  <c r="E48" i="17"/>
  <c r="D50" i="17"/>
  <c r="D49" i="17"/>
  <c r="D48" i="17"/>
  <c r="E43" i="17"/>
  <c r="E44" i="17"/>
  <c r="E42" i="17"/>
  <c r="D45" i="17"/>
  <c r="D44" i="17"/>
  <c r="D43" i="17"/>
  <c r="E39" i="17"/>
  <c r="E37" i="17"/>
  <c r="E38" i="17"/>
  <c r="D40" i="17"/>
  <c r="F40" i="17"/>
  <c r="D39" i="17"/>
  <c r="D38" i="17"/>
  <c r="I22" i="12"/>
  <c r="I28" i="12"/>
  <c r="F35" i="18"/>
  <c r="F30" i="18"/>
  <c r="G81" i="18"/>
  <c r="G75" i="17"/>
  <c r="G80" i="18"/>
  <c r="G74" i="17"/>
  <c r="G79" i="18"/>
  <c r="G73" i="17"/>
  <c r="G78" i="18"/>
  <c r="G72" i="17"/>
  <c r="G77" i="18"/>
  <c r="G71" i="17"/>
  <c r="G58" i="18"/>
  <c r="G57" i="18"/>
  <c r="G56" i="18"/>
  <c r="G55" i="18"/>
  <c r="G54" i="18"/>
  <c r="G51" i="18"/>
  <c r="G49" i="18"/>
  <c r="G48" i="18"/>
  <c r="G47" i="18"/>
  <c r="G46" i="18"/>
  <c r="F33" i="18"/>
  <c r="F32" i="18"/>
  <c r="F31" i="18"/>
  <c r="G35" i="18"/>
  <c r="G33" i="18"/>
  <c r="G32" i="18"/>
  <c r="G31" i="18"/>
  <c r="G30" i="18"/>
  <c r="F16" i="12"/>
  <c r="I15" i="12"/>
  <c r="J28" i="12"/>
  <c r="F28" i="12"/>
  <c r="E28" i="12"/>
  <c r="E25" i="17"/>
  <c r="E24" i="17"/>
  <c r="E23" i="17"/>
  <c r="D25" i="17"/>
  <c r="D24" i="17"/>
  <c r="D23" i="17"/>
  <c r="E20" i="17"/>
  <c r="E19" i="17"/>
  <c r="E18" i="17"/>
  <c r="D20" i="17"/>
  <c r="D19" i="17"/>
  <c r="D18" i="17"/>
  <c r="E15" i="17"/>
  <c r="E14" i="17"/>
  <c r="E13" i="17"/>
  <c r="D15" i="17"/>
  <c r="D14" i="17"/>
  <c r="D13" i="17"/>
  <c r="E10" i="17"/>
  <c r="D10" i="17"/>
  <c r="D8" i="17"/>
  <c r="E6" i="18"/>
  <c r="G6" i="18"/>
  <c r="E5" i="18"/>
  <c r="D5" i="18"/>
  <c r="E4" i="18"/>
  <c r="D4" i="18"/>
  <c r="E2" i="18"/>
  <c r="G12" i="18"/>
  <c r="G11" i="18"/>
  <c r="G27" i="18"/>
  <c r="G26" i="18"/>
  <c r="G25" i="18"/>
  <c r="G24" i="18"/>
  <c r="G23" i="18"/>
  <c r="G16" i="18"/>
  <c r="G13" i="18"/>
  <c r="G10" i="18"/>
  <c r="G9" i="18"/>
  <c r="J6" i="12"/>
  <c r="J5" i="12"/>
  <c r="E7" i="12"/>
  <c r="I5" i="12"/>
  <c r="C28" i="12"/>
  <c r="C16" i="12"/>
  <c r="C7" i="12"/>
  <c r="I16" i="12"/>
  <c r="F3" i="18"/>
  <c r="G60" i="17"/>
  <c r="F48" i="17"/>
  <c r="G40" i="17"/>
  <c r="D42" i="17"/>
  <c r="G42" i="17"/>
  <c r="F71" i="17"/>
  <c r="I7" i="12"/>
  <c r="J4" i="12"/>
  <c r="J16" i="12"/>
  <c r="F49" i="17"/>
  <c r="F6" i="18"/>
  <c r="G3" i="18"/>
  <c r="G2" i="18"/>
  <c r="G4" i="18"/>
  <c r="F8" i="17"/>
  <c r="F2" i="18"/>
  <c r="F4" i="18"/>
  <c r="J7" i="12"/>
  <c r="D2" i="17"/>
  <c r="G49" i="17"/>
  <c r="F60" i="17"/>
  <c r="D47" i="17"/>
  <c r="G47" i="17"/>
  <c r="F54" i="17"/>
  <c r="E52" i="17"/>
  <c r="F72" i="17"/>
  <c r="G45" i="17"/>
  <c r="F45" i="17"/>
  <c r="G19" i="17"/>
  <c r="F53" i="17"/>
  <c r="G14" i="17"/>
  <c r="G18" i="17"/>
  <c r="F50" i="17"/>
  <c r="G48" i="17"/>
  <c r="D57" i="17"/>
  <c r="G59" i="17"/>
  <c r="G9" i="17"/>
  <c r="D17" i="17"/>
  <c r="F13" i="17"/>
  <c r="G23" i="17"/>
  <c r="F15" i="17"/>
  <c r="F59" i="17"/>
  <c r="F19" i="17"/>
  <c r="E17" i="17"/>
  <c r="G10" i="17"/>
  <c r="G54" i="17"/>
  <c r="F9" i="17"/>
  <c r="G15" i="17"/>
  <c r="F18" i="17"/>
  <c r="F25" i="17"/>
  <c r="G8" i="17"/>
  <c r="G20" i="17"/>
  <c r="E7" i="17"/>
  <c r="R3" i="17"/>
  <c r="U3" i="17"/>
  <c r="F23" i="17"/>
  <c r="F39" i="17"/>
  <c r="F43" i="17"/>
  <c r="F55" i="17"/>
  <c r="F10" i="17"/>
  <c r="F14" i="17"/>
  <c r="G24" i="17"/>
  <c r="F44" i="17"/>
  <c r="G13" i="17"/>
  <c r="E12" i="17"/>
  <c r="R4" i="17"/>
  <c r="U4" i="17"/>
  <c r="G50" i="17"/>
  <c r="D22" i="17"/>
  <c r="D12" i="17"/>
  <c r="F24" i="17"/>
  <c r="G39" i="17"/>
  <c r="D37" i="17"/>
  <c r="F37" i="17"/>
  <c r="F20" i="17"/>
  <c r="D52" i="17"/>
  <c r="F38" i="17"/>
  <c r="D7" i="17"/>
  <c r="G55" i="17"/>
  <c r="F58" i="17"/>
  <c r="F73" i="17"/>
  <c r="J15" i="12"/>
  <c r="I18" i="20"/>
  <c r="G43" i="17"/>
  <c r="G38" i="17"/>
  <c r="G58" i="17"/>
  <c r="E57" i="17"/>
  <c r="G25" i="17"/>
  <c r="E22" i="17"/>
  <c r="E2" i="17"/>
  <c r="R2" i="17"/>
  <c r="U2" i="17"/>
  <c r="F7" i="17"/>
  <c r="R6" i="17"/>
  <c r="U6" i="17"/>
  <c r="R5" i="17"/>
  <c r="U5" i="17"/>
  <c r="F52" i="17"/>
  <c r="F42" i="17"/>
  <c r="F12" i="17"/>
  <c r="F47" i="17"/>
  <c r="F17" i="17"/>
  <c r="G17" i="17"/>
  <c r="G7" i="17"/>
  <c r="G52" i="17"/>
  <c r="G37" i="17"/>
  <c r="G12" i="17"/>
  <c r="F57" i="17"/>
  <c r="G57" i="17"/>
  <c r="G22" i="17"/>
  <c r="F22" i="17"/>
  <c r="F2" i="17"/>
  <c r="G2" i="17"/>
  <c r="M6" i="12"/>
  <c r="Q2" i="12"/>
  <c r="Q3" i="12"/>
  <c r="L19" i="23"/>
  <c r="O19" i="23"/>
  <c r="C2" i="20"/>
  <c r="E2" i="20"/>
  <c r="C4" i="20"/>
  <c r="C18" i="20"/>
  <c r="E4" i="20"/>
  <c r="E20" i="20"/>
  <c r="E21" i="20"/>
</calcChain>
</file>

<file path=xl/sharedStrings.xml><?xml version="1.0" encoding="utf-8"?>
<sst xmlns="http://schemas.openxmlformats.org/spreadsheetml/2006/main" count="831" uniqueCount="142">
  <si>
    <t>Ethiopia</t>
  </si>
  <si>
    <t>Kenya</t>
  </si>
  <si>
    <t>Uganda</t>
  </si>
  <si>
    <t>Nutrition</t>
  </si>
  <si>
    <t>Health</t>
  </si>
  <si>
    <t>WASH</t>
  </si>
  <si>
    <t>CP</t>
  </si>
  <si>
    <t>Country</t>
  </si>
  <si>
    <t>INDICATOR</t>
  </si>
  <si>
    <t>% ACHIEVED</t>
  </si>
  <si>
    <t>Sector</t>
  </si>
  <si>
    <t>Education</t>
  </si>
  <si>
    <t>Funding gap</t>
  </si>
  <si>
    <t>US$</t>
  </si>
  <si>
    <t>%</t>
  </si>
  <si>
    <t>TOTAL</t>
  </si>
  <si>
    <t>GAP</t>
  </si>
  <si>
    <t>Refugee target population_SSD</t>
  </si>
  <si>
    <t>Refugee target children_SSD</t>
  </si>
  <si>
    <t>2017 South Sudan  Refugee response results to date</t>
  </si>
  <si>
    <t>2017 South Sudan Refugee Response Targets</t>
  </si>
  <si>
    <t>Funds Received to date for South Sudan Response (US$)</t>
  </si>
  <si>
    <t xml:space="preserve"> # of children admitted for SAM treatment</t>
  </si>
  <si>
    <t># of children vaccinated against measles</t>
  </si>
  <si>
    <t xml:space="preserve"># of children accessing quality education </t>
  </si>
  <si>
    <t xml:space="preserve"> # of people with access to safe water</t>
  </si>
  <si>
    <t># of UASC receiving protection services</t>
  </si>
  <si>
    <t>RRRP</t>
  </si>
  <si>
    <t>HAC/sitrep</t>
  </si>
  <si>
    <t>Number of refugees by country</t>
  </si>
  <si>
    <t>Refugee individuals</t>
  </si>
  <si>
    <t>Refugee children</t>
  </si>
  <si>
    <t>UNHCR</t>
  </si>
  <si>
    <t>South Sudan Refugees</t>
  </si>
  <si>
    <t>Burundi Refugees</t>
  </si>
  <si>
    <t>DRC Refugees</t>
  </si>
  <si>
    <t>Angola</t>
  </si>
  <si>
    <t>Rwanda</t>
  </si>
  <si>
    <t>Refugee target pop_Burundi</t>
  </si>
  <si>
    <t>Refugee target childre_Burundi</t>
  </si>
  <si>
    <t>Funds Received to date for Burundi Response (US$)</t>
  </si>
  <si>
    <t>keeping in mind there is some overlap between refugee and host community beneficiary figures in this</t>
  </si>
  <si>
    <t>Tanzania</t>
  </si>
  <si>
    <t xml:space="preserve">UNHCR, Government, MIDIMAR </t>
  </si>
  <si>
    <t>UNHCR, Government</t>
  </si>
  <si>
    <t>Funds Received to date for DRC Response (US$)</t>
  </si>
  <si>
    <t>Refugees and asylum-seekers from South Sudan: Total</t>
  </si>
  <si>
    <t>children</t>
  </si>
  <si>
    <t>SSD Region total</t>
  </si>
  <si>
    <t>Lakes Region total</t>
  </si>
  <si>
    <t>CO input email</t>
  </si>
  <si>
    <t xml:space="preserve">RRRP </t>
  </si>
  <si>
    <t>Planning end 2018</t>
  </si>
  <si>
    <t>South Sudan</t>
  </si>
  <si>
    <t>Eritrea</t>
  </si>
  <si>
    <t>Sudan</t>
  </si>
  <si>
    <t>Burundi</t>
  </si>
  <si>
    <t>DRC</t>
  </si>
  <si>
    <t>Total</t>
  </si>
  <si>
    <t>Zambia</t>
  </si>
  <si>
    <t>End 2015</t>
  </si>
  <si>
    <t>End 2016</t>
  </si>
  <si>
    <t>South Sudanese Refugees</t>
  </si>
  <si>
    <t>Somali Refugees</t>
  </si>
  <si>
    <t>Update</t>
  </si>
  <si>
    <t>Burundian Refugees**</t>
  </si>
  <si>
    <t># of children admitted for SAM treatment</t>
  </si>
  <si>
    <t># of people with access to safe water</t>
  </si>
  <si>
    <t>End 2017</t>
  </si>
  <si>
    <t>2018 South Sudan Refugee Response Targets</t>
  </si>
  <si>
    <t>2018 South Sudan  Refugee response results to date</t>
  </si>
  <si>
    <t>2018 Burundi Refugee Response Targets</t>
  </si>
  <si>
    <t>2018 Burundi  Refugee response results to date</t>
  </si>
  <si>
    <t>2018 DRC Refugee Response Targets</t>
  </si>
  <si>
    <t>2018 DRC   Refugee response results to date</t>
  </si>
  <si>
    <t>Total 2018 HAC Requirements (US$)</t>
  </si>
  <si>
    <t>Total 2018  Requirements for South Sudan Refugee response (US$)</t>
  </si>
  <si>
    <t>Total 2018  Requirements for Burundian Refugee response (US$)</t>
  </si>
  <si>
    <t>Total 2018  Requirements for DRC Refugee response (US$)</t>
  </si>
  <si>
    <t>HAC/sitrep/RRP</t>
  </si>
  <si>
    <t># of children vaccinated against measles for routine immunization</t>
  </si>
  <si>
    <t># of children and adolescents receiving critical child protection services</t>
  </si>
  <si>
    <t># of UASC receiving appropriate alternative care services</t>
  </si>
  <si>
    <t>IDP</t>
  </si>
  <si>
    <t>2018 Burundi Response Targets</t>
  </si>
  <si>
    <t>2018 Burundi  response results to date</t>
  </si>
  <si>
    <t># of people provided  essential drugs, including for malaria treatment</t>
  </si>
  <si>
    <t>Total 2018  HAC Requirements (US$)</t>
  </si>
  <si>
    <t>DRC Region Total</t>
  </si>
  <si>
    <t>Southern Africa</t>
  </si>
  <si>
    <t>Refugee target pop</t>
  </si>
  <si>
    <t>Refugee target children</t>
  </si>
  <si>
    <t>Refugees</t>
  </si>
  <si>
    <t>Somalia</t>
  </si>
  <si>
    <t>Malawi</t>
  </si>
  <si>
    <t>Zimbabwe</t>
  </si>
  <si>
    <t>Mozambique</t>
  </si>
  <si>
    <t>Botswana</t>
  </si>
  <si>
    <t>Namibia</t>
  </si>
  <si>
    <t>*Refugees in ESAR countries</t>
  </si>
  <si>
    <t>assessed essential WaSH services</t>
  </si>
  <si>
    <t>2018 Burundi and DRC Refugee Response Targets</t>
  </si>
  <si>
    <t>2018 South Sudan, Burundi and DRC Refugee Response Targets</t>
  </si>
  <si>
    <t>2018 South Sudan, Burundi and DRC Refugee response results to date</t>
  </si>
  <si>
    <t>Not applicable</t>
  </si>
  <si>
    <t>2018 Burundi  and DRC Refugee response results to date</t>
  </si>
  <si>
    <t>2018 Burundi and DRC Refugee response results to date</t>
  </si>
  <si>
    <t>2018 Burundi  and DRC refugee Response Targets</t>
  </si>
  <si>
    <t>2018 Burundi and DRC refugee response results to date</t>
  </si>
  <si>
    <t>Regional</t>
  </si>
  <si>
    <t>*No disaggregation for DRC and Burundian ref response. Data to ne checked directly from CO</t>
  </si>
  <si>
    <t># of people provided with prepositioned materials (squatting plates, water purification kits, portable water testing field test, hygiene material, water tanks</t>
  </si>
  <si>
    <t>south africa</t>
  </si>
  <si>
    <t>malawi</t>
  </si>
  <si>
    <t>mozambique</t>
  </si>
  <si>
    <t>zimb</t>
  </si>
  <si>
    <t>nam</t>
  </si>
  <si>
    <t>swa</t>
  </si>
  <si>
    <t>bots</t>
  </si>
  <si>
    <t>total</t>
  </si>
  <si>
    <t>Refugees including out of region</t>
  </si>
  <si>
    <t>people</t>
  </si>
  <si>
    <t>Refugees Lakes</t>
  </si>
  <si>
    <t>Lakes % refugees</t>
  </si>
  <si>
    <t>How many new in 2018</t>
  </si>
  <si>
    <t>SSD refugee</t>
  </si>
  <si>
    <t xml:space="preserve">Burundian </t>
  </si>
  <si>
    <t>burundi</t>
  </si>
  <si>
    <t>uganda</t>
  </si>
  <si>
    <t>drc</t>
  </si>
  <si>
    <t>tanzania</t>
  </si>
  <si>
    <t>rwanda</t>
  </si>
  <si>
    <t>required</t>
  </si>
  <si>
    <t>funded</t>
  </si>
  <si>
    <t>gap</t>
  </si>
  <si>
    <t xml:space="preserve"> </t>
  </si>
  <si>
    <t>% gap</t>
  </si>
  <si>
    <t>Total response 2018</t>
  </si>
  <si>
    <t>Total Jun 17-May 18</t>
  </si>
  <si>
    <t>Regional for infographic</t>
  </si>
  <si>
    <t>#country+name</t>
  </si>
  <si>
    <t>#inneed+idp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</si>
</sst>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(* #,##0_);_(* \(#,##0\);_(* &quot;-&quot;??_);_(@_)"/>
    <numFmt numFmtId="168" formatCode="#,##0.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7"/>
      <color rgb="FF333333"/>
      <name val="Arial"/>
      <family val="2"/>
    </font>
    <font>
      <b/>
      <sz val="22"/>
      <color rgb="FF3C8DBC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FFFFFF"/>
      </bottom>
      <diagonal/>
    </border>
    <border>
      <left/>
      <right/>
      <top style="medium">
        <color auto="1"/>
      </top>
      <bottom style="medium">
        <color rgb="FFFFFFFF"/>
      </bottom>
      <diagonal/>
    </border>
    <border>
      <left/>
      <right style="medium">
        <color auto="1"/>
      </right>
      <top style="medium">
        <color auto="1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auto="1"/>
      </bottom>
      <diagonal/>
    </border>
    <border>
      <left/>
      <right style="medium">
        <color rgb="FFFFFFFF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11111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81">
    <xf numFmtId="0" fontId="0" fillId="0" borderId="0" xfId="0"/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3" fontId="5" fillId="0" borderId="0" xfId="0" applyNumberFormat="1" applyFont="1"/>
    <xf numFmtId="0" fontId="0" fillId="0" borderId="2" xfId="0" applyBorder="1" applyAlignment="1">
      <alignment wrapText="1"/>
    </xf>
    <xf numFmtId="0" fontId="3" fillId="0" borderId="0" xfId="0" applyFont="1" applyBorder="1"/>
    <xf numFmtId="0" fontId="9" fillId="5" borderId="8" xfId="2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7" xfId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7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7" xfId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3" borderId="7" xfId="1" applyFont="1" applyFill="1" applyBorder="1" applyAlignment="1">
      <alignment horizontal="center" vertical="center"/>
    </xf>
    <xf numFmtId="0" fontId="3" fillId="0" borderId="0" xfId="0" applyFont="1"/>
    <xf numFmtId="0" fontId="9" fillId="5" borderId="6" xfId="0" applyFont="1" applyFill="1" applyBorder="1" applyAlignment="1">
      <alignment horizontal="center" vertical="center" wrapText="1"/>
    </xf>
    <xf numFmtId="3" fontId="4" fillId="9" borderId="6" xfId="0" applyNumberFormat="1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vertical="center" wrapText="1"/>
    </xf>
    <xf numFmtId="3" fontId="4" fillId="3" borderId="7" xfId="0" applyNumberFormat="1" applyFont="1" applyFill="1" applyBorder="1" applyAlignment="1">
      <alignment vertical="center" wrapText="1"/>
    </xf>
    <xf numFmtId="3" fontId="3" fillId="4" borderId="7" xfId="0" applyNumberFormat="1" applyFont="1" applyFill="1" applyBorder="1" applyAlignment="1">
      <alignment vertical="center"/>
    </xf>
    <xf numFmtId="3" fontId="4" fillId="4" borderId="7" xfId="0" applyNumberFormat="1" applyFont="1" applyFill="1" applyBorder="1" applyAlignment="1">
      <alignment vertical="center" wrapText="1"/>
    </xf>
    <xf numFmtId="3" fontId="3" fillId="10" borderId="7" xfId="0" applyNumberFormat="1" applyFont="1" applyFill="1" applyBorder="1" applyAlignment="1">
      <alignment vertical="center"/>
    </xf>
    <xf numFmtId="3" fontId="4" fillId="10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vertical="center"/>
    </xf>
    <xf numFmtId="3" fontId="4" fillId="6" borderId="7" xfId="0" applyNumberFormat="1" applyFont="1" applyFill="1" applyBorder="1" applyAlignment="1">
      <alignment vertical="center" wrapText="1"/>
    </xf>
    <xf numFmtId="3" fontId="3" fillId="7" borderId="7" xfId="0" applyNumberFormat="1" applyFont="1" applyFill="1" applyBorder="1" applyAlignment="1">
      <alignment vertical="center"/>
    </xf>
    <xf numFmtId="3" fontId="4" fillId="7" borderId="7" xfId="0" applyNumberFormat="1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/>
    </xf>
    <xf numFmtId="0" fontId="9" fillId="5" borderId="9" xfId="2" applyFont="1" applyFill="1" applyBorder="1" applyAlignment="1">
      <alignment horizontal="center" vertical="center" wrapText="1"/>
    </xf>
    <xf numFmtId="0" fontId="9" fillId="5" borderId="10" xfId="2" applyFont="1" applyFill="1" applyBorder="1" applyAlignment="1">
      <alignment horizontal="center" vertical="center" wrapText="1"/>
    </xf>
    <xf numFmtId="0" fontId="9" fillId="5" borderId="11" xfId="2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vertical="center" wrapText="1"/>
    </xf>
    <xf numFmtId="9" fontId="3" fillId="3" borderId="13" xfId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vertical="center"/>
    </xf>
    <xf numFmtId="9" fontId="3" fillId="4" borderId="13" xfId="1" applyFont="1" applyFill="1" applyBorder="1" applyAlignment="1">
      <alignment horizontal="center" vertical="center" wrapText="1"/>
    </xf>
    <xf numFmtId="3" fontId="3" fillId="10" borderId="12" xfId="0" applyNumberFormat="1" applyFont="1" applyFill="1" applyBorder="1" applyAlignment="1">
      <alignment vertical="center"/>
    </xf>
    <xf numFmtId="9" fontId="3" fillId="10" borderId="13" xfId="1" applyFont="1" applyFill="1" applyBorder="1" applyAlignment="1">
      <alignment horizontal="center" vertical="center"/>
    </xf>
    <xf numFmtId="3" fontId="3" fillId="6" borderId="12" xfId="0" applyNumberFormat="1" applyFont="1" applyFill="1" applyBorder="1" applyAlignment="1">
      <alignment vertical="center"/>
    </xf>
    <xf numFmtId="9" fontId="3" fillId="6" borderId="13" xfId="1" applyFont="1" applyFill="1" applyBorder="1" applyAlignment="1">
      <alignment horizontal="center" vertical="center" wrapText="1"/>
    </xf>
    <xf numFmtId="3" fontId="3" fillId="7" borderId="14" xfId="0" applyNumberFormat="1" applyFont="1" applyFill="1" applyBorder="1" applyAlignment="1">
      <alignment vertical="center"/>
    </xf>
    <xf numFmtId="3" fontId="4" fillId="7" borderId="15" xfId="0" applyNumberFormat="1" applyFont="1" applyFill="1" applyBorder="1" applyAlignment="1">
      <alignment vertical="center" wrapText="1"/>
    </xf>
    <xf numFmtId="3" fontId="3" fillId="7" borderId="15" xfId="0" applyNumberFormat="1" applyFont="1" applyFill="1" applyBorder="1" applyAlignment="1">
      <alignment horizontal="center" vertical="center"/>
    </xf>
    <xf numFmtId="3" fontId="4" fillId="7" borderId="15" xfId="0" applyNumberFormat="1" applyFont="1" applyFill="1" applyBorder="1" applyAlignment="1">
      <alignment horizontal="center" vertical="center" wrapText="1"/>
    </xf>
    <xf numFmtId="3" fontId="3" fillId="7" borderId="15" xfId="0" applyNumberFormat="1" applyFont="1" applyFill="1" applyBorder="1" applyAlignment="1">
      <alignment horizontal="center" vertical="center" wrapText="1"/>
    </xf>
    <xf numFmtId="9" fontId="3" fillId="7" borderId="16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9" fontId="0" fillId="12" borderId="0" xfId="1" applyFont="1" applyFill="1"/>
    <xf numFmtId="0" fontId="0" fillId="12" borderId="0" xfId="0" applyFill="1"/>
    <xf numFmtId="3" fontId="3" fillId="12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center" vertical="center" wrapText="1"/>
    </xf>
    <xf numFmtId="9" fontId="3" fillId="0" borderId="0" xfId="1" applyNumberFormat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/>
    <xf numFmtId="3" fontId="3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9" fontId="3" fillId="4" borderId="18" xfId="1" applyFont="1" applyFill="1" applyBorder="1" applyAlignment="1">
      <alignment horizontal="center" vertical="center" wrapText="1"/>
    </xf>
    <xf numFmtId="9" fontId="3" fillId="10" borderId="18" xfId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7" borderId="18" xfId="1" applyFont="1" applyFill="1" applyBorder="1" applyAlignment="1">
      <alignment horizontal="center" vertical="center" wrapText="1"/>
    </xf>
    <xf numFmtId="3" fontId="12" fillId="0" borderId="0" xfId="0" applyNumberFormat="1" applyFont="1"/>
    <xf numFmtId="3" fontId="0" fillId="0" borderId="0" xfId="0" applyNumberFormat="1" applyAlignment="1">
      <alignment horizontal="center"/>
    </xf>
    <xf numFmtId="0" fontId="0" fillId="13" borderId="1" xfId="0" applyFill="1" applyBorder="1"/>
    <xf numFmtId="0" fontId="0" fillId="10" borderId="1" xfId="0" applyFill="1" applyBorder="1"/>
    <xf numFmtId="3" fontId="0" fillId="0" borderId="20" xfId="0" applyNumberFormat="1" applyBorder="1" applyAlignment="1">
      <alignment horizontal="center"/>
    </xf>
    <xf numFmtId="0" fontId="0" fillId="10" borderId="20" xfId="0" applyFill="1" applyBorder="1"/>
    <xf numFmtId="3" fontId="13" fillId="3" borderId="1" xfId="0" applyNumberFormat="1" applyFont="1" applyFill="1" applyBorder="1" applyAlignment="1">
      <alignment horizontal="center"/>
    </xf>
    <xf numFmtId="0" fontId="13" fillId="10" borderId="1" xfId="0" applyFont="1" applyFill="1" applyBorder="1"/>
    <xf numFmtId="0" fontId="0" fillId="10" borderId="21" xfId="0" applyFill="1" applyBorder="1"/>
    <xf numFmtId="0" fontId="0" fillId="10" borderId="22" xfId="0" applyFill="1" applyBorder="1"/>
    <xf numFmtId="0" fontId="13" fillId="10" borderId="21" xfId="0" applyFont="1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13" fillId="3" borderId="26" xfId="0" applyNumberFormat="1" applyFont="1" applyFill="1" applyBorder="1" applyAlignment="1">
      <alignment horizontal="center"/>
    </xf>
    <xf numFmtId="3" fontId="0" fillId="0" borderId="0" xfId="0" applyNumberForma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3" fillId="6" borderId="0" xfId="0" applyFont="1" applyFill="1"/>
    <xf numFmtId="3" fontId="0" fillId="0" borderId="20" xfId="0" applyNumberFormat="1" applyFill="1" applyBorder="1" applyAlignment="1">
      <alignment horizontal="center"/>
    </xf>
    <xf numFmtId="165" fontId="3" fillId="0" borderId="0" xfId="0" applyNumberFormat="1" applyFont="1"/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5" borderId="35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9" fontId="3" fillId="9" borderId="35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3" fontId="10" fillId="5" borderId="37" xfId="0" applyNumberFormat="1" applyFont="1" applyFill="1" applyBorder="1" applyAlignment="1">
      <alignment horizontal="center" vertical="center" wrapText="1"/>
    </xf>
    <xf numFmtId="9" fontId="10" fillId="5" borderId="38" xfId="1" applyFont="1" applyFill="1" applyBorder="1" applyAlignment="1">
      <alignment horizontal="center" vertical="center" wrapText="1"/>
    </xf>
    <xf numFmtId="9" fontId="3" fillId="9" borderId="35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6" fillId="2" borderId="40" xfId="0" applyNumberFormat="1" applyFont="1" applyFill="1" applyBorder="1" applyAlignment="1">
      <alignment wrapText="1"/>
    </xf>
    <xf numFmtId="3" fontId="7" fillId="2" borderId="40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5" fillId="0" borderId="39" xfId="0" applyNumberFormat="1" applyFont="1" applyBorder="1"/>
    <xf numFmtId="3" fontId="15" fillId="2" borderId="41" xfId="0" applyNumberFormat="1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0" fillId="13" borderId="26" xfId="0" applyFill="1" applyBorder="1"/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13" fillId="3" borderId="44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13" fillId="3" borderId="45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7" borderId="46" xfId="1" applyFont="1" applyFill="1" applyBorder="1" applyAlignment="1">
      <alignment horizontal="center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6" fillId="2" borderId="40" xfId="0" applyNumberFormat="1" applyFont="1" applyFill="1" applyBorder="1" applyAlignment="1">
      <alignment vertical="center" wrapText="1"/>
    </xf>
    <xf numFmtId="3" fontId="6" fillId="2" borderId="41" xfId="0" applyNumberFormat="1" applyFont="1" applyFill="1" applyBorder="1" applyAlignment="1">
      <alignment wrapText="1"/>
    </xf>
    <xf numFmtId="3" fontId="7" fillId="2" borderId="1" xfId="0" applyNumberFormat="1" applyFont="1" applyFill="1" applyBorder="1" applyAlignment="1">
      <alignment horizont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/>
    </xf>
    <xf numFmtId="0" fontId="0" fillId="13" borderId="0" xfId="0" applyFill="1"/>
    <xf numFmtId="0" fontId="13" fillId="0" borderId="0" xfId="0" applyFont="1"/>
    <xf numFmtId="3" fontId="13" fillId="0" borderId="0" xfId="0" applyNumberFormat="1" applyFont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167" fontId="0" fillId="2" borderId="1" xfId="7" applyNumberFormat="1" applyFont="1" applyFill="1" applyBorder="1" applyAlignment="1">
      <alignment horizontal="right"/>
    </xf>
    <xf numFmtId="167" fontId="0" fillId="0" borderId="0" xfId="7" applyNumberFormat="1" applyFont="1"/>
    <xf numFmtId="167" fontId="0" fillId="13" borderId="1" xfId="7" applyNumberFormat="1" applyFont="1" applyFill="1" applyBorder="1"/>
    <xf numFmtId="1" fontId="0" fillId="2" borderId="1" xfId="0" applyNumberFormat="1" applyFill="1" applyBorder="1" applyAlignment="1">
      <alignment horizontal="right"/>
    </xf>
    <xf numFmtId="0" fontId="13" fillId="0" borderId="1" xfId="0" applyFont="1" applyBorder="1"/>
    <xf numFmtId="167" fontId="13" fillId="0" borderId="1" xfId="7" applyNumberFormat="1" applyFont="1" applyBorder="1" applyAlignment="1">
      <alignment horizontal="center"/>
    </xf>
    <xf numFmtId="167" fontId="0" fillId="14" borderId="1" xfId="7" applyNumberFormat="1" applyFont="1" applyFill="1" applyBorder="1" applyAlignment="1">
      <alignment horizontal="right"/>
    </xf>
    <xf numFmtId="167" fontId="3" fillId="0" borderId="0" xfId="7" applyNumberFormat="1" applyFont="1" applyBorder="1"/>
    <xf numFmtId="167" fontId="3" fillId="0" borderId="0" xfId="7" applyNumberFormat="1" applyFont="1" applyFill="1" applyBorder="1"/>
    <xf numFmtId="0" fontId="0" fillId="14" borderId="0" xfId="0" applyFill="1"/>
    <xf numFmtId="3" fontId="0" fillId="14" borderId="0" xfId="0" applyNumberFormat="1" applyFill="1" applyAlignment="1">
      <alignment horizontal="center"/>
    </xf>
    <xf numFmtId="3" fontId="17" fillId="0" borderId="0" xfId="0" applyNumberFormat="1" applyFont="1"/>
    <xf numFmtId="3" fontId="17" fillId="16" borderId="47" xfId="0" applyNumberFormat="1" applyFont="1" applyFill="1" applyBorder="1" applyAlignment="1">
      <alignment horizontal="right" vertical="center" wrapText="1"/>
    </xf>
    <xf numFmtId="0" fontId="0" fillId="15" borderId="48" xfId="0" applyFill="1" applyBorder="1"/>
    <xf numFmtId="3" fontId="17" fillId="15" borderId="47" xfId="0" applyNumberFormat="1" applyFont="1" applyFill="1" applyBorder="1" applyAlignment="1">
      <alignment horizontal="right" vertical="center" wrapText="1"/>
    </xf>
    <xf numFmtId="0" fontId="17" fillId="0" borderId="0" xfId="0" applyFont="1"/>
    <xf numFmtId="3" fontId="0" fillId="14" borderId="0" xfId="0" applyNumberFormat="1" applyFill="1"/>
    <xf numFmtId="0" fontId="0" fillId="13" borderId="0" xfId="0" applyFill="1" applyAlignment="1">
      <alignment wrapText="1"/>
    </xf>
    <xf numFmtId="0" fontId="13" fillId="6" borderId="28" xfId="0" applyFont="1" applyFill="1" applyBorder="1" applyAlignment="1">
      <alignment horizontal="left"/>
    </xf>
    <xf numFmtId="3" fontId="0" fillId="0" borderId="4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3" fillId="0" borderId="0" xfId="0" applyNumberFormat="1" applyFont="1"/>
    <xf numFmtId="9" fontId="13" fillId="0" borderId="0" xfId="1" applyFont="1"/>
    <xf numFmtId="9" fontId="0" fillId="0" borderId="42" xfId="1" applyFont="1" applyFill="1" applyBorder="1" applyAlignment="1">
      <alignment horizontal="center"/>
    </xf>
    <xf numFmtId="9" fontId="13" fillId="0" borderId="0" xfId="1" applyFont="1" applyFill="1" applyBorder="1" applyAlignment="1">
      <alignment horizontal="center"/>
    </xf>
    <xf numFmtId="3" fontId="18" fillId="0" borderId="0" xfId="0" applyNumberFormat="1" applyFont="1"/>
    <xf numFmtId="3" fontId="20" fillId="0" borderId="0" xfId="0" applyNumberFormat="1" applyFont="1"/>
    <xf numFmtId="168" fontId="19" fillId="0" borderId="0" xfId="0" applyNumberFormat="1" applyFont="1"/>
    <xf numFmtId="166" fontId="13" fillId="13" borderId="1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3" fillId="0" borderId="40" xfId="0" applyNumberFormat="1" applyFont="1" applyBorder="1" applyAlignment="1">
      <alignment horizontal="center"/>
    </xf>
    <xf numFmtId="0" fontId="0" fillId="0" borderId="40" xfId="0" applyBorder="1"/>
    <xf numFmtId="0" fontId="0" fillId="0" borderId="20" xfId="0" applyBorder="1" applyAlignment="1">
      <alignment wrapText="1"/>
    </xf>
    <xf numFmtId="3" fontId="0" fillId="0" borderId="20" xfId="0" applyNumberFormat="1" applyBorder="1"/>
    <xf numFmtId="3" fontId="0" fillId="0" borderId="49" xfId="0" applyNumberFormat="1" applyBorder="1"/>
    <xf numFmtId="165" fontId="0" fillId="0" borderId="0" xfId="0" applyNumberFormat="1"/>
    <xf numFmtId="9" fontId="3" fillId="0" borderId="0" xfId="1" applyFont="1"/>
    <xf numFmtId="169" fontId="12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wrapText="1"/>
    </xf>
    <xf numFmtId="17" fontId="3" fillId="0" borderId="0" xfId="1" applyNumberFormat="1" applyFont="1" applyFill="1" applyBorder="1"/>
    <xf numFmtId="17" fontId="0" fillId="0" borderId="2" xfId="0" applyNumberFormat="1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3" fillId="14" borderId="0" xfId="0" applyFont="1" applyFill="1" applyBorder="1"/>
    <xf numFmtId="3" fontId="3" fillId="14" borderId="0" xfId="0" applyNumberFormat="1" applyFont="1" applyFill="1" applyBorder="1"/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9" fillId="5" borderId="53" xfId="2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9" fillId="5" borderId="56" xfId="2" applyFont="1" applyFill="1" applyBorder="1" applyAlignment="1">
      <alignment horizontal="center" vertical="center" wrapText="1"/>
    </xf>
    <xf numFmtId="0" fontId="9" fillId="5" borderId="57" xfId="2" applyFont="1" applyFill="1" applyBorder="1" applyAlignment="1">
      <alignment horizontal="center" vertical="center" wrapText="1"/>
    </xf>
    <xf numFmtId="3" fontId="3" fillId="3" borderId="58" xfId="0" applyNumberFormat="1" applyFont="1" applyFill="1" applyBorder="1" applyAlignment="1">
      <alignment vertical="center" wrapText="1"/>
    </xf>
    <xf numFmtId="9" fontId="3" fillId="3" borderId="59" xfId="1" applyFont="1" applyFill="1" applyBorder="1" applyAlignment="1">
      <alignment horizontal="center" vertical="center"/>
    </xf>
    <xf numFmtId="3" fontId="3" fillId="4" borderId="58" xfId="0" applyNumberFormat="1" applyFont="1" applyFill="1" applyBorder="1" applyAlignment="1">
      <alignment vertical="center"/>
    </xf>
    <xf numFmtId="9" fontId="3" fillId="4" borderId="59" xfId="1" applyFont="1" applyFill="1" applyBorder="1" applyAlignment="1">
      <alignment horizontal="center" vertical="center" wrapText="1"/>
    </xf>
    <xf numFmtId="3" fontId="3" fillId="10" borderId="58" xfId="0" applyNumberFormat="1" applyFont="1" applyFill="1" applyBorder="1" applyAlignment="1">
      <alignment vertical="center"/>
    </xf>
    <xf numFmtId="9" fontId="3" fillId="10" borderId="59" xfId="1" applyFont="1" applyFill="1" applyBorder="1" applyAlignment="1">
      <alignment horizontal="center" vertical="center"/>
    </xf>
    <xf numFmtId="3" fontId="3" fillId="6" borderId="58" xfId="0" applyNumberFormat="1" applyFont="1" applyFill="1" applyBorder="1" applyAlignment="1">
      <alignment vertical="center"/>
    </xf>
    <xf numFmtId="9" fontId="3" fillId="6" borderId="59" xfId="1" applyFont="1" applyFill="1" applyBorder="1" applyAlignment="1">
      <alignment horizontal="center" vertical="center" wrapText="1"/>
    </xf>
    <xf numFmtId="3" fontId="3" fillId="7" borderId="60" xfId="0" applyNumberFormat="1" applyFont="1" applyFill="1" applyBorder="1" applyAlignment="1">
      <alignment vertical="center"/>
    </xf>
    <xf numFmtId="3" fontId="4" fillId="7" borderId="61" xfId="0" applyNumberFormat="1" applyFont="1" applyFill="1" applyBorder="1" applyAlignment="1">
      <alignment vertical="center" wrapText="1"/>
    </xf>
    <xf numFmtId="3" fontId="3" fillId="7" borderId="61" xfId="0" applyNumberFormat="1" applyFont="1" applyFill="1" applyBorder="1" applyAlignment="1">
      <alignment horizontal="center" vertical="center" wrapText="1"/>
    </xf>
    <xf numFmtId="9" fontId="3" fillId="7" borderId="62" xfId="1" applyFont="1" applyFill="1" applyBorder="1" applyAlignment="1">
      <alignment horizontal="center" vertical="center" wrapText="1"/>
    </xf>
    <xf numFmtId="0" fontId="9" fillId="5" borderId="63" xfId="2" applyFont="1" applyFill="1" applyBorder="1" applyAlignment="1">
      <alignment horizontal="center" vertical="center" wrapText="1"/>
    </xf>
    <xf numFmtId="0" fontId="9" fillId="5" borderId="64" xfId="2" applyFont="1" applyFill="1" applyBorder="1" applyAlignment="1">
      <alignment horizontal="center" vertical="center" wrapText="1"/>
    </xf>
    <xf numFmtId="0" fontId="9" fillId="5" borderId="65" xfId="2" applyFont="1" applyFill="1" applyBorder="1" applyAlignment="1">
      <alignment horizontal="center" vertical="center" wrapText="1"/>
    </xf>
    <xf numFmtId="3" fontId="3" fillId="7" borderId="61" xfId="0" applyNumberFormat="1" applyFont="1" applyFill="1" applyBorder="1" applyAlignment="1">
      <alignment horizontal="center" vertical="center"/>
    </xf>
    <xf numFmtId="3" fontId="4" fillId="7" borderId="61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167" fontId="3" fillId="0" borderId="0" xfId="7" applyNumberFormat="1" applyFon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12" fillId="11" borderId="29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3" fontId="3" fillId="8" borderId="1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 wrapText="1"/>
    </xf>
    <xf numFmtId="3" fontId="3" fillId="3" borderId="51" xfId="0" applyNumberFormat="1" applyFont="1" applyFill="1" applyBorder="1" applyAlignment="1">
      <alignment horizontal="center" vertical="center" wrapText="1"/>
    </xf>
    <xf numFmtId="3" fontId="3" fillId="3" borderId="52" xfId="0" applyNumberFormat="1" applyFont="1" applyFill="1" applyBorder="1" applyAlignment="1">
      <alignment horizontal="center" vertical="center" wrapText="1"/>
    </xf>
    <xf numFmtId="3" fontId="4" fillId="3" borderId="50" xfId="0" applyNumberFormat="1" applyFont="1" applyFill="1" applyBorder="1" applyAlignment="1">
      <alignment horizontal="center" vertical="center" wrapText="1"/>
    </xf>
    <xf numFmtId="3" fontId="4" fillId="3" borderId="51" xfId="0" applyNumberFormat="1" applyFont="1" applyFill="1" applyBorder="1" applyAlignment="1">
      <alignment horizontal="center" vertical="center" wrapText="1"/>
    </xf>
    <xf numFmtId="3" fontId="4" fillId="3" borderId="52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</cellXfs>
  <cellStyles count="8">
    <cellStyle name="Comma" xfId="7" builtinId="3"/>
    <cellStyle name="Comma 2" xfId="3"/>
    <cellStyle name="Currency 2" xfId="6"/>
    <cellStyle name="Normal" xfId="0" builtinId="0"/>
    <cellStyle name="Normal 2" xfId="2"/>
    <cellStyle name="Normal 3" xfId="5"/>
    <cellStyle name="Percent" xfId="1" builtinId="5"/>
    <cellStyle name="Percent 2" xfId="4"/>
  </cellStyles>
  <dxfs count="0"/>
  <tableStyles count="0" defaultTableStyle="TableStyleMedium2" defaultPivotStyle="PivotStyleLight16"/>
  <colors>
    <mruColors>
      <color rgb="FFCAB1E1"/>
      <color rgb="FF75DBFF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sector'!$E$2:$E$5</c:f>
              <c:numCache>
                <c:formatCode>#,##0</c:formatCode>
                <c:ptCount val="4"/>
                <c:pt idx="0">
                  <c:v>4284.0</c:v>
                </c:pt>
                <c:pt idx="1">
                  <c:v>2085.0</c:v>
                </c:pt>
                <c:pt idx="2">
                  <c:v>1643.0</c:v>
                </c:pt>
                <c:pt idx="3">
                  <c:v>556.0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06-4B37-B2DC-E89D0BFFF0B7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sector'!$F$2:$F$5</c:f>
              <c:numCache>
                <c:formatCode>#,##0</c:formatCode>
                <c:ptCount val="4"/>
                <c:pt idx="0">
                  <c:v>21361.0</c:v>
                </c:pt>
                <c:pt idx="1">
                  <c:v>5915.0</c:v>
                </c:pt>
                <c:pt idx="2">
                  <c:v>4357.0</c:v>
                </c:pt>
                <c:pt idx="3">
                  <c:v>11089.0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06-4B37-B2DC-E89D0BFFF0B7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sector'!$G$2:$G$5</c:f>
              <c:numCache>
                <c:formatCode>0%</c:formatCode>
                <c:ptCount val="4"/>
                <c:pt idx="0">
                  <c:v>0.167050107233379</c:v>
                </c:pt>
                <c:pt idx="1">
                  <c:v>0.260625</c:v>
                </c:pt>
                <c:pt idx="2">
                  <c:v>0.273833333333333</c:v>
                </c:pt>
                <c:pt idx="3">
                  <c:v>0.0477458136539287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06-4B37-B2DC-E89D0BFFF0B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547904"/>
        <c:axId val="-19047281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sector'!$B$2:$C$5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sector'!$D$2:$D$5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25645.0</c:v>
                      </c:pt>
                      <c:pt idx="1">
                        <c:v>8000.0</c:v>
                      </c:pt>
                      <c:pt idx="2">
                        <c:v>6000.0</c:v>
                      </c:pt>
                      <c:pt idx="3">
                        <c:v>11645.0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2406-4B37-B2DC-E89D0BFFF0B7}"/>
                  </c:ext>
                </c:extLst>
              </c15:ser>
            </c15:filteredBarSeries>
          </c:ext>
        </c:extLst>
      </c:barChart>
      <c:catAx>
        <c:axId val="-185754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4728176"/>
        <c:crosses val="autoZero"/>
        <c:auto val="0"/>
        <c:lblAlgn val="ctr"/>
        <c:lblOffset val="100"/>
        <c:noMultiLvlLbl val="0"/>
      </c:catAx>
      <c:valAx>
        <c:axId val="-19047281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5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1"/>
          <c:y val="0.0133865766292232"/>
          <c:w val="0.19563189191607"/>
          <c:h val="0.949089164484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sector'!$E$37:$E$60</c15:sqref>
                  </c15:fullRef>
                </c:ext>
              </c:extLst>
              <c:f>'Results by sector'!$E$57:$E$60</c:f>
              <c:numCache>
                <c:formatCode>#,##0</c:formatCode>
                <c:ptCount val="4"/>
                <c:pt idx="0">
                  <c:v>5805.0</c:v>
                </c:pt>
                <c:pt idx="1">
                  <c:v>19.0</c:v>
                </c:pt>
                <c:pt idx="2">
                  <c:v>0.0</c:v>
                </c:pt>
                <c:pt idx="3">
                  <c:v>5786.0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AB-4300-83C3-E97DB4F2B83E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sector'!$F$37:$F$60</c15:sqref>
                  </c15:fullRef>
                </c:ext>
              </c:extLst>
              <c:f>'Results by sector'!$F$57:$F$60</c:f>
              <c:numCache>
                <c:formatCode>#,##0</c:formatCode>
                <c:ptCount val="4"/>
                <c:pt idx="0">
                  <c:v>21.0</c:v>
                </c:pt>
                <c:pt idx="1">
                  <c:v>107.0</c:v>
                </c:pt>
                <c:pt idx="2">
                  <c:v>200.0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AB-4300-83C3-E97DB4F2B83E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sector'!$G$37:$G$60</c15:sqref>
                  </c15:fullRef>
                </c:ext>
              </c:extLst>
              <c:f>'Results by sector'!$G$57:$G$60</c:f>
              <c:numCache>
                <c:formatCode>0%</c:formatCode>
                <c:ptCount val="4"/>
                <c:pt idx="0">
                  <c:v>0.996395468589083</c:v>
                </c:pt>
                <c:pt idx="1">
                  <c:v>0.150793650793651</c:v>
                </c:pt>
                <c:pt idx="2">
                  <c:v>0.0</c:v>
                </c:pt>
                <c:pt idx="3">
                  <c:v>1.052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AB-4300-83C3-E97DB4F2B8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711344"/>
        <c:axId val="-18567085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sector'!$B$37:$C$60</c15:sqref>
                        </c15:fullRef>
                        <c15:formulaRef>
                          <c15:sqref>'Results by sector'!$B$57:$C$60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sector'!$D$37:$D$60</c15:sqref>
                        </c15:fullRef>
                        <c15:formulaRef>
                          <c15:sqref>'Results by sector'!$D$57:$D$60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5826.0</c:v>
                      </c:pt>
                      <c:pt idx="1">
                        <c:v>126.0</c:v>
                      </c:pt>
                      <c:pt idx="2">
                        <c:v>200.0</c:v>
                      </c:pt>
                      <c:pt idx="3">
                        <c:v>5500.0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8AB-4300-83C3-E97DB4F2B83E}"/>
                  </c:ext>
                </c:extLst>
              </c15:ser>
            </c15:filteredBarSeries>
          </c:ext>
        </c:extLst>
      </c:barChart>
      <c:catAx>
        <c:axId val="-1856711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708592"/>
        <c:crosses val="autoZero"/>
        <c:auto val="0"/>
        <c:lblAlgn val="ctr"/>
        <c:lblOffset val="100"/>
        <c:noMultiLvlLbl val="0"/>
      </c:catAx>
      <c:valAx>
        <c:axId val="-18567085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7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"/>
          <c:y val="0.0360577918224847"/>
          <c:w val="0.198572311071453"/>
          <c:h val="0.935675702197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0.0</c:v>
                </c:pt>
                <c:pt idx="1">
                  <c:v>2343.0</c:v>
                </c:pt>
                <c:pt idx="2">
                  <c:v>0.0</c:v>
                </c:pt>
                <c:pt idx="3">
                  <c:v>15637.0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89-4D39-A71C-4D55F3A76D9B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5000.0</c:v>
                </c:pt>
                <c:pt idx="1">
                  <c:v>9657.0</c:v>
                </c:pt>
                <c:pt idx="2">
                  <c:v>12250.0</c:v>
                </c:pt>
                <c:pt idx="3">
                  <c:v>19774.0</c:v>
                </c:pt>
                <c:pt idx="4">
                  <c:v>320.0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89-4D39-A71C-4D55F3A76D9B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0.0</c:v>
                </c:pt>
                <c:pt idx="1">
                  <c:v>0.19525</c:v>
                </c:pt>
                <c:pt idx="2">
                  <c:v>0.0</c:v>
                </c:pt>
                <c:pt idx="3">
                  <c:v>0.441585947869306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89-4D39-A71C-4D55F3A76D9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464976"/>
        <c:axId val="-18574622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5000.0</c:v>
                      </c:pt>
                      <c:pt idx="1">
                        <c:v>12000.0</c:v>
                      </c:pt>
                      <c:pt idx="2">
                        <c:v>12250.0</c:v>
                      </c:pt>
                      <c:pt idx="3">
                        <c:v>35411.0</c:v>
                      </c:pt>
                      <c:pt idx="4">
                        <c:v>320.0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189-4D39-A71C-4D55F3A76D9B}"/>
                  </c:ext>
                </c:extLst>
              </c15:ser>
            </c15:filteredBarSeries>
          </c:ext>
        </c:extLst>
      </c:barChart>
      <c:catAx>
        <c:axId val="-1857464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462224"/>
        <c:crosses val="autoZero"/>
        <c:auto val="0"/>
        <c:lblAlgn val="ctr"/>
        <c:lblOffset val="100"/>
        <c:noMultiLvlLbl val="0"/>
      </c:catAx>
      <c:valAx>
        <c:axId val="-1857462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4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240484149"/>
          <c:h val="0.78672441209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273.0</c:v>
                </c:pt>
                <c:pt idx="1">
                  <c:v>6690.0</c:v>
                </c:pt>
                <c:pt idx="2">
                  <c:v>1422.0</c:v>
                </c:pt>
                <c:pt idx="3">
                  <c:v>9253.0</c:v>
                </c:pt>
                <c:pt idx="4">
                  <c:v>98.0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08-42E2-BC67-16B991AEBDFB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127.0</c:v>
                </c:pt>
                <c:pt idx="1">
                  <c:v>5185.0</c:v>
                </c:pt>
                <c:pt idx="2">
                  <c:v>2118.0</c:v>
                </c:pt>
                <c:pt idx="3">
                  <c:v>5747.0</c:v>
                </c:pt>
                <c:pt idx="4">
                  <c:v>152.0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08-42E2-BC67-16B991AEBDFB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0.563368421052632</c:v>
                </c:pt>
                <c:pt idx="2">
                  <c:v>0.401694915254237</c:v>
                </c:pt>
                <c:pt idx="3">
                  <c:v>0.616866666666667</c:v>
                </c:pt>
                <c:pt idx="4">
                  <c:v>0.392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08-42E2-BC67-16B991AEBD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416592"/>
        <c:axId val="-18574138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400.0</c:v>
                      </c:pt>
                      <c:pt idx="1">
                        <c:v>11875.0</c:v>
                      </c:pt>
                      <c:pt idx="2">
                        <c:v>3540.0</c:v>
                      </c:pt>
                      <c:pt idx="3">
                        <c:v>15000.0</c:v>
                      </c:pt>
                      <c:pt idx="4">
                        <c:v>250.0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308-42E2-BC67-16B991AEBDFB}"/>
                  </c:ext>
                </c:extLst>
              </c15:ser>
            </c15:filteredBarSeries>
          </c:ext>
        </c:extLst>
      </c:barChart>
      <c:catAx>
        <c:axId val="-185741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413840"/>
        <c:crosses val="autoZero"/>
        <c:auto val="0"/>
        <c:lblAlgn val="ctr"/>
        <c:lblOffset val="100"/>
        <c:noMultiLvlLbl val="0"/>
      </c:catAx>
      <c:valAx>
        <c:axId val="-18574138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4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135637809"/>
          <c:h val="0.43057309897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</c:f>
              <c:strCache>
                <c:ptCount val="1"/>
                <c:pt idx="0">
                  <c:v>2017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country'!$E$2:$E$6</c:f>
              <c:numCache>
                <c:formatCode>#,##0</c:formatCode>
                <c:ptCount val="5"/>
                <c:pt idx="0">
                  <c:v>4284.0</c:v>
                </c:pt>
                <c:pt idx="1">
                  <c:v>45171.0</c:v>
                </c:pt>
                <c:pt idx="2">
                  <c:v>124240.0</c:v>
                </c:pt>
                <c:pt idx="3">
                  <c:v>67561.0</c:v>
                </c:pt>
                <c:pt idx="4">
                  <c:v>8700.0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71-4B86-A1E1-EF9C119471EA}"/>
            </c:ext>
          </c:extLst>
        </c:ser>
        <c:ser>
          <c:idx val="2"/>
          <c:order val="2"/>
          <c:tx>
            <c:strRef>
              <c:f>'Results by country'!$F$1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country'!$F$2:$F$6</c:f>
              <c:numCache>
                <c:formatCode>#,##0</c:formatCode>
                <c:ptCount val="5"/>
                <c:pt idx="0">
                  <c:v>21361.0</c:v>
                </c:pt>
                <c:pt idx="1">
                  <c:v>595581.0</c:v>
                </c:pt>
                <c:pt idx="2">
                  <c:v>65330.0</c:v>
                </c:pt>
                <c:pt idx="3">
                  <c:v>318739.0</c:v>
                </c:pt>
                <c:pt idx="4">
                  <c:v>32444.0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71-4B86-A1E1-EF9C119471EA}"/>
            </c:ext>
          </c:extLst>
        </c:ser>
        <c:ser>
          <c:idx val="3"/>
          <c:order val="3"/>
          <c:tx>
            <c:strRef>
              <c:f>'Results by country'!$G$1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country'!$G$2:$G$6</c:f>
              <c:numCache>
                <c:formatCode>0%</c:formatCode>
                <c:ptCount val="5"/>
                <c:pt idx="0">
                  <c:v>0.167050107233379</c:v>
                </c:pt>
                <c:pt idx="1">
                  <c:v>0.0704968536969061</c:v>
                </c:pt>
                <c:pt idx="2">
                  <c:v>0.655377960647782</c:v>
                </c:pt>
                <c:pt idx="3">
                  <c:v>0.17489257054103</c:v>
                </c:pt>
                <c:pt idx="4">
                  <c:v>0.211452459653898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71-4B86-A1E1-EF9C119471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332832"/>
        <c:axId val="-18573300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country'!$D$1</c15:sqref>
                        </c15:formulaRef>
                      </c:ext>
                    </c:extLst>
                    <c:strCache>
                      <c:ptCount val="1"/>
                      <c:pt idx="0">
                        <c:v>2017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country'!$B$2:$B$6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country'!$D$2:$D$6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25645.0</c:v>
                      </c:pt>
                      <c:pt idx="1">
                        <c:v>640752.0</c:v>
                      </c:pt>
                      <c:pt idx="2">
                        <c:v>189570.0</c:v>
                      </c:pt>
                      <c:pt idx="3">
                        <c:v>386300.0</c:v>
                      </c:pt>
                      <c:pt idx="4">
                        <c:v>41144.0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671-4B86-A1E1-EF9C119471EA}"/>
                  </c:ext>
                </c:extLst>
              </c15:ser>
            </c15:filteredBarSeries>
          </c:ext>
        </c:extLst>
      </c:barChart>
      <c:catAx>
        <c:axId val="-185733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330080"/>
        <c:crosses val="autoZero"/>
        <c:auto val="0"/>
        <c:lblAlgn val="ctr"/>
        <c:lblOffset val="100"/>
        <c:noMultiLvlLbl val="0"/>
      </c:catAx>
      <c:valAx>
        <c:axId val="-18573300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3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"/>
          <c:y val="0.0133865766292232"/>
          <c:w val="0.255323012947702"/>
          <c:h val="0.8628321107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country'!$E$15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country'!$E$16:$E$20</c:f>
              <c:numCache>
                <c:formatCode>#,##0</c:formatCode>
                <c:ptCount val="5"/>
                <c:pt idx="0">
                  <c:v>1643.0</c:v>
                </c:pt>
                <c:pt idx="1">
                  <c:v>3876.0</c:v>
                </c:pt>
                <c:pt idx="2">
                  <c:v>45254.0</c:v>
                </c:pt>
                <c:pt idx="3">
                  <c:v>34768.0</c:v>
                </c:pt>
                <c:pt idx="4">
                  <c:v>3525.0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B-430C-830F-F6E3736BCD16}"/>
            </c:ext>
          </c:extLst>
        </c:ser>
        <c:ser>
          <c:idx val="2"/>
          <c:order val="2"/>
          <c:tx>
            <c:strRef>
              <c:f>'Results by country'!$F$15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country'!$F$16:$F$20</c:f>
              <c:numCache>
                <c:formatCode>#,##0</c:formatCode>
                <c:ptCount val="5"/>
                <c:pt idx="0">
                  <c:v>4357.0</c:v>
                </c:pt>
                <c:pt idx="1">
                  <c:v>10124.0</c:v>
                </c:pt>
                <c:pt idx="2">
                  <c:v>7746.0</c:v>
                </c:pt>
                <c:pt idx="3">
                  <c:v>257232.0</c:v>
                </c:pt>
                <c:pt idx="4">
                  <c:v>15116.0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B-430C-830F-F6E3736BCD16}"/>
            </c:ext>
          </c:extLst>
        </c:ser>
        <c:ser>
          <c:idx val="3"/>
          <c:order val="3"/>
          <c:tx>
            <c:strRef>
              <c:f>'Results by country'!$G$15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country'!$G$16:$G$20</c:f>
              <c:numCache>
                <c:formatCode>0%</c:formatCode>
                <c:ptCount val="5"/>
                <c:pt idx="0">
                  <c:v>0.273833333333333</c:v>
                </c:pt>
                <c:pt idx="1">
                  <c:v>0.276857142857143</c:v>
                </c:pt>
                <c:pt idx="2">
                  <c:v>0.853849056603774</c:v>
                </c:pt>
                <c:pt idx="3">
                  <c:v>0.119068493150685</c:v>
                </c:pt>
                <c:pt idx="4">
                  <c:v>0.189099297248002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B-430C-830F-F6E3736BCD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674288"/>
        <c:axId val="-18566715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country'!$D$15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country'!$B$16:$B$20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 for routine immunization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country'!$D$16:$D$20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6000.0</c:v>
                      </c:pt>
                      <c:pt idx="1">
                        <c:v>14000.0</c:v>
                      </c:pt>
                      <c:pt idx="2">
                        <c:v>53000.0</c:v>
                      </c:pt>
                      <c:pt idx="3">
                        <c:v>292000.0</c:v>
                      </c:pt>
                      <c:pt idx="4">
                        <c:v>18641.0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CE9B-430C-830F-F6E3736BCD16}"/>
                  </c:ext>
                </c:extLst>
              </c15:ser>
            </c15:filteredBarSeries>
          </c:ext>
        </c:extLst>
      </c:barChart>
      <c:catAx>
        <c:axId val="-185667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671536"/>
        <c:crosses val="autoZero"/>
        <c:auto val="0"/>
        <c:lblAlgn val="ctr"/>
        <c:lblOffset val="100"/>
        <c:noMultiLvlLbl val="0"/>
      </c:catAx>
      <c:valAx>
        <c:axId val="-18566715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6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1849045636642"/>
          <c:y val="0.0360577918224847"/>
          <c:w val="0.248150954363358"/>
          <c:h val="0.88189260799436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country'!$E$22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country'!$E$23:$E$27</c:f>
              <c:numCache>
                <c:formatCode>#,##0</c:formatCode>
                <c:ptCount val="5"/>
                <c:pt idx="0">
                  <c:v>556.0</c:v>
                </c:pt>
                <c:pt idx="1">
                  <c:v>31040.0</c:v>
                </c:pt>
                <c:pt idx="2">
                  <c:v>33402.0</c:v>
                </c:pt>
                <c:pt idx="3">
                  <c:v>32793.0</c:v>
                </c:pt>
                <c:pt idx="4">
                  <c:v>4974.0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C-47A1-BA46-342E6F14CB97}"/>
            </c:ext>
          </c:extLst>
        </c:ser>
        <c:ser>
          <c:idx val="2"/>
          <c:order val="2"/>
          <c:tx>
            <c:strRef>
              <c:f>'Results by country'!$F$22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country'!$F$23:$F$27</c:f>
              <c:numCache>
                <c:formatCode>#,##0</c:formatCode>
                <c:ptCount val="5"/>
                <c:pt idx="0">
                  <c:v>11089.0</c:v>
                </c:pt>
                <c:pt idx="1">
                  <c:v>520960.0</c:v>
                </c:pt>
                <c:pt idx="2">
                  <c:v>53168.0</c:v>
                </c:pt>
                <c:pt idx="3">
                  <c:v>58207.0</c:v>
                </c:pt>
                <c:pt idx="4">
                  <c:v>6059.0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3C-47A1-BA46-342E6F14CB97}"/>
            </c:ext>
          </c:extLst>
        </c:ser>
        <c:ser>
          <c:idx val="3"/>
          <c:order val="3"/>
          <c:tx>
            <c:strRef>
              <c:f>'Results by country'!$G$22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country'!$G$23:$G$27</c:f>
              <c:numCache>
                <c:formatCode>0%</c:formatCode>
                <c:ptCount val="5"/>
                <c:pt idx="0">
                  <c:v>0.0477458136539287</c:v>
                </c:pt>
                <c:pt idx="1">
                  <c:v>0.056231884057971</c:v>
                </c:pt>
                <c:pt idx="2">
                  <c:v>0.38583805013284</c:v>
                </c:pt>
                <c:pt idx="3">
                  <c:v>0.360362637362637</c:v>
                </c:pt>
                <c:pt idx="4">
                  <c:v>0.450829330191244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3C-47A1-BA46-342E6F14CB9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626304"/>
        <c:axId val="-18566235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country'!$D$22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country'!$B$23:$B$27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country'!$D$23:$D$27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11645.0</c:v>
                      </c:pt>
                      <c:pt idx="1">
                        <c:v>552000.0</c:v>
                      </c:pt>
                      <c:pt idx="2">
                        <c:v>86570.0</c:v>
                      </c:pt>
                      <c:pt idx="3">
                        <c:v>91000.0</c:v>
                      </c:pt>
                      <c:pt idx="4">
                        <c:v>11033.0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953C-47A1-BA46-342E6F14CB97}"/>
                  </c:ext>
                </c:extLst>
              </c15:ser>
            </c15:filteredBarSeries>
          </c:ext>
        </c:extLst>
      </c:barChart>
      <c:catAx>
        <c:axId val="-185662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623552"/>
        <c:crosses val="autoZero"/>
        <c:auto val="0"/>
        <c:lblAlgn val="ctr"/>
        <c:lblOffset val="100"/>
        <c:noMultiLvlLbl val="0"/>
      </c:catAx>
      <c:valAx>
        <c:axId val="-185662355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3583251278794"/>
          <c:y val="0.0133865766292232"/>
          <c:w val="0.246416748721206"/>
          <c:h val="0.939037161826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country'!$E$9:$E$13</c:f>
              <c:numCache>
                <c:formatCode>#,##0</c:formatCode>
                <c:ptCount val="5"/>
                <c:pt idx="0">
                  <c:v>2085.0</c:v>
                </c:pt>
                <c:pt idx="1">
                  <c:v>10255.0</c:v>
                </c:pt>
                <c:pt idx="2">
                  <c:v>45584.0</c:v>
                </c:pt>
                <c:pt idx="3">
                  <c:v>0.0</c:v>
                </c:pt>
                <c:pt idx="4">
                  <c:v>201.0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C-443F-849C-56AA1213CF3F}"/>
            </c:ext>
          </c:extLst>
        </c:ser>
        <c:ser>
          <c:idx val="2"/>
          <c:order val="2"/>
          <c:tx>
            <c:strRef>
              <c:f>'Results by country'!$F$8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country'!$F$9:$F$13</c:f>
              <c:numCache>
                <c:formatCode>#,##0</c:formatCode>
                <c:ptCount val="5"/>
                <c:pt idx="0">
                  <c:v>5915.0</c:v>
                </c:pt>
                <c:pt idx="1">
                  <c:v>64497.0</c:v>
                </c:pt>
                <c:pt idx="2">
                  <c:v>4416.0</c:v>
                </c:pt>
                <c:pt idx="3">
                  <c:v>3300.0</c:v>
                </c:pt>
                <c:pt idx="4">
                  <c:v>11269.0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C-443F-849C-56AA1213CF3F}"/>
            </c:ext>
          </c:extLst>
        </c:ser>
        <c:ser>
          <c:idx val="3"/>
          <c:order val="3"/>
          <c:tx>
            <c:strRef>
              <c:f>'Results by country'!$G$8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country'!$G$9:$G$13</c:f>
              <c:numCache>
                <c:formatCode>0%</c:formatCode>
                <c:ptCount val="5"/>
                <c:pt idx="0">
                  <c:v>0.260625</c:v>
                </c:pt>
                <c:pt idx="1">
                  <c:v>0.13718696489726</c:v>
                </c:pt>
                <c:pt idx="2">
                  <c:v>0.91168</c:v>
                </c:pt>
                <c:pt idx="3">
                  <c:v>0.0</c:v>
                </c:pt>
                <c:pt idx="4">
                  <c:v>0.0175239755884917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C-443F-849C-56AA1213CF3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306592"/>
        <c:axId val="-18573038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country'!$D$8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country'!$B$9:$B$13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country'!$D$9:$D$13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8000.0</c:v>
                      </c:pt>
                      <c:pt idx="1">
                        <c:v>74752.0</c:v>
                      </c:pt>
                      <c:pt idx="2">
                        <c:v>50000.0</c:v>
                      </c:pt>
                      <c:pt idx="3">
                        <c:v>3300.0</c:v>
                      </c:pt>
                      <c:pt idx="4">
                        <c:v>11470.0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5F0C-443F-849C-56AA1213CF3F}"/>
                  </c:ext>
                </c:extLst>
              </c15:ser>
            </c15:filteredBarSeries>
          </c:ext>
        </c:extLst>
      </c:barChart>
      <c:catAx>
        <c:axId val="-18573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303840"/>
        <c:crosses val="autoZero"/>
        <c:auto val="0"/>
        <c:lblAlgn val="ctr"/>
        <c:lblOffset val="100"/>
        <c:noMultiLvlLbl val="0"/>
      </c:catAx>
      <c:valAx>
        <c:axId val="-18573038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3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7592825842689"/>
          <c:y val="0.0133865766292232"/>
          <c:w val="0.252407174157311"/>
          <c:h val="0.881893490413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country'!$E$45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country'!$E$46:$E$51</c:f>
              <c:numCache>
                <c:formatCode>#,##0</c:formatCode>
                <c:ptCount val="6"/>
                <c:pt idx="0">
                  <c:v>62.0</c:v>
                </c:pt>
                <c:pt idx="1">
                  <c:v>2097.0</c:v>
                </c:pt>
                <c:pt idx="2">
                  <c:v>22947.0</c:v>
                </c:pt>
                <c:pt idx="3">
                  <c:v>0.0</c:v>
                </c:pt>
                <c:pt idx="4">
                  <c:v>26700.0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99-4AD2-8235-F8347971742D}"/>
            </c:ext>
          </c:extLst>
        </c:ser>
        <c:ser>
          <c:idx val="2"/>
          <c:order val="2"/>
          <c:tx>
            <c:strRef>
              <c:f>'Results by country'!$F$45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country'!$F$46:$F$51</c:f>
              <c:numCache>
                <c:formatCode>#,##0</c:formatCode>
                <c:ptCount val="6"/>
                <c:pt idx="0">
                  <c:v>238.0</c:v>
                </c:pt>
                <c:pt idx="1">
                  <c:v>7803.0</c:v>
                </c:pt>
                <c:pt idx="2">
                  <c:v>0.0</c:v>
                </c:pt>
                <c:pt idx="3">
                  <c:v>10000.0</c:v>
                </c:pt>
                <c:pt idx="4">
                  <c:v>3300.0</c:v>
                </c:pt>
                <c:pt idx="5">
                  <c:v>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99-4AD2-8235-F8347971742D}"/>
            </c:ext>
          </c:extLst>
        </c:ser>
        <c:ser>
          <c:idx val="3"/>
          <c:order val="3"/>
          <c:tx>
            <c:strRef>
              <c:f>'Results by country'!$G$45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country'!$G$46:$G$51</c:f>
              <c:numCache>
                <c:formatCode>0%</c:formatCode>
                <c:ptCount val="6"/>
                <c:pt idx="0">
                  <c:v>0.206666666666667</c:v>
                </c:pt>
                <c:pt idx="1">
                  <c:v>0.211818181818182</c:v>
                </c:pt>
                <c:pt idx="2">
                  <c:v>1.207736842105263</c:v>
                </c:pt>
                <c:pt idx="3">
                  <c:v>0.0</c:v>
                </c:pt>
                <c:pt idx="4">
                  <c:v>0.89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99-4AD2-8235-F834797174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257392"/>
        <c:axId val="-18572546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country'!$D$45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country'!$B$46:$B$51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provided with prepositioned materials (squatting plates, water purification kits, portable water testing field test, hygiene material, water tanks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country'!$D$46:$D$51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300.0</c:v>
                      </c:pt>
                      <c:pt idx="1">
                        <c:v>9900.0</c:v>
                      </c:pt>
                      <c:pt idx="2">
                        <c:v>19000.0</c:v>
                      </c:pt>
                      <c:pt idx="3">
                        <c:v>10000.0</c:v>
                      </c:pt>
                      <c:pt idx="4">
                        <c:v>30000.0</c:v>
                      </c:pt>
                      <c:pt idx="5">
                        <c:v>200.0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A99-4AD2-8235-F8347971742D}"/>
                  </c:ext>
                </c:extLst>
              </c15:ser>
            </c15:filteredBarSeries>
          </c:ext>
        </c:extLst>
      </c:barChart>
      <c:catAx>
        <c:axId val="-185725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254640"/>
        <c:crosses val="autoZero"/>
        <c:auto val="0"/>
        <c:lblAlgn val="ctr"/>
        <c:lblOffset val="100"/>
        <c:noMultiLvlLbl val="0"/>
      </c:catAx>
      <c:valAx>
        <c:axId val="-18572546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240484149"/>
          <c:h val="0.78672441209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country'!$E$53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country'!$E$54:$E$58</c:f>
              <c:numCache>
                <c:formatCode>#,##0</c:formatCode>
                <c:ptCount val="5"/>
                <c:pt idx="0">
                  <c:v>1065.0</c:v>
                </c:pt>
                <c:pt idx="1">
                  <c:v>13787.0</c:v>
                </c:pt>
                <c:pt idx="2">
                  <c:v>70235.0</c:v>
                </c:pt>
                <c:pt idx="3">
                  <c:v>137624.0</c:v>
                </c:pt>
                <c:pt idx="4">
                  <c:v>5786.0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6-47DA-B2CF-1A9243132F7C}"/>
            </c:ext>
          </c:extLst>
        </c:ser>
        <c:ser>
          <c:idx val="2"/>
          <c:order val="2"/>
          <c:tx>
            <c:strRef>
              <c:f>'Results by country'!$F$53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country'!$F$54:$F$58</c:f>
              <c:numCache>
                <c:formatCode>#,##0</c:formatCode>
                <c:ptCount val="5"/>
                <c:pt idx="0">
                  <c:v>1039.0</c:v>
                </c:pt>
                <c:pt idx="1">
                  <c:v>18213.0</c:v>
                </c:pt>
                <c:pt idx="2">
                  <c:v>24765.0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6-47DA-B2CF-1A9243132F7C}"/>
            </c:ext>
          </c:extLst>
        </c:ser>
        <c:ser>
          <c:idx val="3"/>
          <c:order val="3"/>
          <c:tx>
            <c:strRef>
              <c:f>'Results by country'!$G$53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country'!$G$54:$G$58</c:f>
              <c:numCache>
                <c:formatCode>0%</c:formatCode>
                <c:ptCount val="5"/>
                <c:pt idx="0">
                  <c:v>0.506178707224335</c:v>
                </c:pt>
                <c:pt idx="1">
                  <c:v>0.43084375</c:v>
                </c:pt>
                <c:pt idx="2">
                  <c:v>0.739315789473684</c:v>
                </c:pt>
                <c:pt idx="3">
                  <c:v>1.048563809523809</c:v>
                </c:pt>
                <c:pt idx="4">
                  <c:v>1.052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6-47DA-B2CF-1A9243132F7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213808"/>
        <c:axId val="-18572110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country'!$D$53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country'!$B$54:$B$58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country'!$D$54:$D$58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2104.0</c:v>
                      </c:pt>
                      <c:pt idx="1">
                        <c:v>32000.0</c:v>
                      </c:pt>
                      <c:pt idx="2">
                        <c:v>95000.0</c:v>
                      </c:pt>
                      <c:pt idx="3">
                        <c:v>131250.0</c:v>
                      </c:pt>
                      <c:pt idx="4">
                        <c:v>5500.0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B6-47DA-B2CF-1A9243132F7C}"/>
                  </c:ext>
                </c:extLst>
              </c15:ser>
            </c15:filteredBarSeries>
          </c:ext>
        </c:extLst>
      </c:barChart>
      <c:catAx>
        <c:axId val="-1857213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211056"/>
        <c:crosses val="autoZero"/>
        <c:auto val="0"/>
        <c:lblAlgn val="ctr"/>
        <c:lblOffset val="100"/>
        <c:noMultiLvlLbl val="0"/>
      </c:catAx>
      <c:valAx>
        <c:axId val="-18572110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2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240484149"/>
          <c:h val="0.78672441209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0.0</c:v>
                </c:pt>
                <c:pt idx="1">
                  <c:v>2343.0</c:v>
                </c:pt>
                <c:pt idx="2">
                  <c:v>0.0</c:v>
                </c:pt>
                <c:pt idx="3">
                  <c:v>15637.0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FF-4159-A9EF-642F50716B59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5000.0</c:v>
                </c:pt>
                <c:pt idx="1">
                  <c:v>9657.0</c:v>
                </c:pt>
                <c:pt idx="2">
                  <c:v>12250.0</c:v>
                </c:pt>
                <c:pt idx="3">
                  <c:v>19774.0</c:v>
                </c:pt>
                <c:pt idx="4">
                  <c:v>320.0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FF-4159-A9EF-642F50716B59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0.0</c:v>
                </c:pt>
                <c:pt idx="1">
                  <c:v>0.19525</c:v>
                </c:pt>
                <c:pt idx="2">
                  <c:v>0.0</c:v>
                </c:pt>
                <c:pt idx="3">
                  <c:v>0.441585947869306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FF-4159-A9EF-642F50716B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170944"/>
        <c:axId val="-18571681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5000.0</c:v>
                      </c:pt>
                      <c:pt idx="1">
                        <c:v>12000.0</c:v>
                      </c:pt>
                      <c:pt idx="2">
                        <c:v>12250.0</c:v>
                      </c:pt>
                      <c:pt idx="3">
                        <c:v>35411.0</c:v>
                      </c:pt>
                      <c:pt idx="4">
                        <c:v>320.0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22FF-4159-A9EF-642F50716B59}"/>
                  </c:ext>
                </c:extLst>
              </c15:ser>
            </c15:filteredBarSeries>
          </c:ext>
        </c:extLst>
      </c:barChart>
      <c:catAx>
        <c:axId val="-1857170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168192"/>
        <c:crosses val="autoZero"/>
        <c:auto val="0"/>
        <c:lblAlgn val="ctr"/>
        <c:lblOffset val="100"/>
        <c:noMultiLvlLbl val="0"/>
      </c:catAx>
      <c:valAx>
        <c:axId val="-18571681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1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240484149"/>
          <c:h val="0.78672441209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sector'!$E$7:$E$10</c:f>
              <c:numCache>
                <c:formatCode>#,##0</c:formatCode>
                <c:ptCount val="4"/>
                <c:pt idx="0">
                  <c:v>45171.0</c:v>
                </c:pt>
                <c:pt idx="1">
                  <c:v>10255.0</c:v>
                </c:pt>
                <c:pt idx="2">
                  <c:v>3876.0</c:v>
                </c:pt>
                <c:pt idx="3">
                  <c:v>31040.0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91-4ACE-A34E-A15DC250F83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sector'!$F$7:$F$10</c:f>
              <c:numCache>
                <c:formatCode>#,##0</c:formatCode>
                <c:ptCount val="4"/>
                <c:pt idx="0">
                  <c:v>595581.0</c:v>
                </c:pt>
                <c:pt idx="1">
                  <c:v>64497.0</c:v>
                </c:pt>
                <c:pt idx="2">
                  <c:v>10124.0</c:v>
                </c:pt>
                <c:pt idx="3">
                  <c:v>520960.0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91-4ACE-A34E-A15DC250F83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sector'!$G$7:$G$10</c:f>
              <c:numCache>
                <c:formatCode>0%</c:formatCode>
                <c:ptCount val="4"/>
                <c:pt idx="0">
                  <c:v>0.0704968536969061</c:v>
                </c:pt>
                <c:pt idx="1">
                  <c:v>0.13718696489726</c:v>
                </c:pt>
                <c:pt idx="2">
                  <c:v>0.276857142857143</c:v>
                </c:pt>
                <c:pt idx="3">
                  <c:v>0.056231884057971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91-4ACE-A34E-A15DC250F83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907880256"/>
        <c:axId val="-19078782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sector'!$B$7:$C$10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sector'!$D$7:$D$10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640752.0</c:v>
                      </c:pt>
                      <c:pt idx="1">
                        <c:v>74752.0</c:v>
                      </c:pt>
                      <c:pt idx="2">
                        <c:v>14000.0</c:v>
                      </c:pt>
                      <c:pt idx="3">
                        <c:v>552000.0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C91-4ACE-A34E-A15DC250F835}"/>
                  </c:ext>
                </c:extLst>
              </c15:ser>
            </c15:filteredBarSeries>
          </c:ext>
        </c:extLst>
      </c:barChart>
      <c:catAx>
        <c:axId val="-190788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7878208"/>
        <c:crosses val="autoZero"/>
        <c:auto val="0"/>
        <c:lblAlgn val="ctr"/>
        <c:lblOffset val="100"/>
        <c:noMultiLvlLbl val="0"/>
      </c:catAx>
      <c:valAx>
        <c:axId val="-19078782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9078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"/>
          <c:y val="0.0212134271514342"/>
          <c:w val="0.208422816341176"/>
          <c:h val="0.9523187797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country'!$E$29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country'!$E$30:$E$35</c:f>
              <c:numCache>
                <c:formatCode>#,##0</c:formatCode>
                <c:ptCount val="6"/>
                <c:pt idx="0">
                  <c:v>1366.0</c:v>
                </c:pt>
                <c:pt idx="1">
                  <c:v>36737.0</c:v>
                </c:pt>
                <c:pt idx="2">
                  <c:v>100065.0</c:v>
                </c:pt>
                <c:pt idx="3">
                  <c:v>140624.0</c:v>
                </c:pt>
                <c:pt idx="4">
                  <c:v>32486.0</c:v>
                </c:pt>
                <c:pt idx="5">
                  <c:v>5805.0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54-4AA6-991E-39F3579C78D3}"/>
            </c:ext>
          </c:extLst>
        </c:ser>
        <c:ser>
          <c:idx val="2"/>
          <c:order val="2"/>
          <c:tx>
            <c:strRef>
              <c:f>'Results by country'!$F$29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country'!$F$30:$F$35</c:f>
              <c:numCache>
                <c:formatCode>#,##0</c:formatCode>
                <c:ptCount val="6"/>
                <c:pt idx="0">
                  <c:v>2125.0</c:v>
                </c:pt>
                <c:pt idx="1">
                  <c:v>21663.0</c:v>
                </c:pt>
                <c:pt idx="2">
                  <c:v>15996.0</c:v>
                </c:pt>
                <c:pt idx="3">
                  <c:v>5626.0</c:v>
                </c:pt>
                <c:pt idx="4">
                  <c:v>14814.0</c:v>
                </c:pt>
                <c:pt idx="5">
                  <c:v>21.0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54-4AA6-991E-39F3579C78D3}"/>
            </c:ext>
          </c:extLst>
        </c:ser>
        <c:ser>
          <c:idx val="3"/>
          <c:order val="3"/>
          <c:tx>
            <c:strRef>
              <c:f>'Results by country'!$G$29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country'!$G$30:$G$35</c:f>
              <c:numCache>
                <c:formatCode>0%</c:formatCode>
                <c:ptCount val="6"/>
                <c:pt idx="0">
                  <c:v>0.391291893440275</c:v>
                </c:pt>
                <c:pt idx="1">
                  <c:v>0.629058219178082</c:v>
                </c:pt>
                <c:pt idx="2">
                  <c:v>0.862175924729237</c:v>
                </c:pt>
                <c:pt idx="3">
                  <c:v>0.961531623931624</c:v>
                </c:pt>
                <c:pt idx="4">
                  <c:v>0.686807610993657</c:v>
                </c:pt>
                <c:pt idx="5">
                  <c:v>0.996395468589083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54-4AA6-991E-39F3579C78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586544"/>
        <c:axId val="-18565837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country'!$D$29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country'!$B$30:$B$35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country'!$D$30:$D$35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3491.0</c:v>
                      </c:pt>
                      <c:pt idx="1">
                        <c:v>58400.0</c:v>
                      </c:pt>
                      <c:pt idx="2">
                        <c:v>116061.0</c:v>
                      </c:pt>
                      <c:pt idx="3">
                        <c:v>146250.0</c:v>
                      </c:pt>
                      <c:pt idx="4">
                        <c:v>47300.0</c:v>
                      </c:pt>
                      <c:pt idx="5">
                        <c:v>5826.0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C54-4AA6-991E-39F3579C78D3}"/>
                  </c:ext>
                </c:extLst>
              </c15:ser>
            </c15:filteredBarSeries>
          </c:ext>
        </c:extLst>
      </c:barChart>
      <c:catAx>
        <c:axId val="-185658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583792"/>
        <c:crosses val="autoZero"/>
        <c:auto val="0"/>
        <c:lblAlgn val="ctr"/>
        <c:lblOffset val="100"/>
        <c:noMultiLvlLbl val="0"/>
      </c:catAx>
      <c:valAx>
        <c:axId val="-18565837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5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"/>
          <c:y val="0.0133865766292232"/>
          <c:w val="0.255323012947702"/>
          <c:h val="0.8628321107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country'!$E$37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country'!$E$38:$E$43</c:f>
              <c:numCache>
                <c:formatCode>#,##0</c:formatCode>
                <c:ptCount val="6"/>
                <c:pt idx="0">
                  <c:v>239.0</c:v>
                </c:pt>
                <c:pt idx="1">
                  <c:v>20853.0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B3-4E94-A869-FC8C451DF284}"/>
            </c:ext>
          </c:extLst>
        </c:ser>
        <c:ser>
          <c:idx val="2"/>
          <c:order val="2"/>
          <c:tx>
            <c:strRef>
              <c:f>'Results by country'!$F$37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country'!$F$38:$F$43</c:f>
              <c:numCache>
                <c:formatCode>#,##0</c:formatCode>
                <c:ptCount val="6"/>
                <c:pt idx="0">
                  <c:v>848.0</c:v>
                </c:pt>
                <c:pt idx="1">
                  <c:v>0.0</c:v>
                </c:pt>
                <c:pt idx="2">
                  <c:v>2061.0</c:v>
                </c:pt>
                <c:pt idx="3">
                  <c:v>15000.0</c:v>
                </c:pt>
                <c:pt idx="4">
                  <c:v>11800.0</c:v>
                </c:pt>
                <c:pt idx="5">
                  <c:v>107.0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B3-4E94-A869-FC8C451DF284}"/>
            </c:ext>
          </c:extLst>
        </c:ser>
        <c:ser>
          <c:idx val="3"/>
          <c:order val="3"/>
          <c:tx>
            <c:strRef>
              <c:f>'Results by country'!$G$37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country'!$G$38:$G$43</c:f>
              <c:numCache>
                <c:formatCode>0%</c:formatCode>
                <c:ptCount val="6"/>
                <c:pt idx="0">
                  <c:v>0.219871205151794</c:v>
                </c:pt>
                <c:pt idx="1">
                  <c:v>1.263818181818182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0.150793650793651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B3-4E94-A869-FC8C451DF2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856539680"/>
        <c:axId val="-1856536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country'!$D$37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country'!$B$38:$B$43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country'!$D$38:$D$43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1087.0</c:v>
                      </c:pt>
                      <c:pt idx="1">
                        <c:v>16500.0</c:v>
                      </c:pt>
                      <c:pt idx="2">
                        <c:v>2061.0</c:v>
                      </c:pt>
                      <c:pt idx="3">
                        <c:v>15000.0</c:v>
                      </c:pt>
                      <c:pt idx="4">
                        <c:v>11800.0</c:v>
                      </c:pt>
                      <c:pt idx="5">
                        <c:v>126.0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9B3-4E94-A869-FC8C451DF284}"/>
                  </c:ext>
                </c:extLst>
              </c15:ser>
            </c15:filteredBarSeries>
          </c:ext>
        </c:extLst>
      </c:barChart>
      <c:catAx>
        <c:axId val="-185653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536928"/>
        <c:crosses val="autoZero"/>
        <c:auto val="0"/>
        <c:lblAlgn val="ctr"/>
        <c:lblOffset val="100"/>
        <c:noMultiLvlLbl val="0"/>
      </c:catAx>
      <c:valAx>
        <c:axId val="-18565369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5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1346550496895"/>
          <c:y val="0.111464978066302"/>
          <c:w val="0.289983497508697"/>
          <c:h val="0.816602840913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country'!$E$60</c:f>
              <c:strCache>
                <c:ptCount val="1"/>
                <c:pt idx="0">
                  <c:v>2018 Burundi 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country'!$E$61:$E$65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6883.0</c:v>
                </c:pt>
                <c:pt idx="3">
                  <c:v>3000.0</c:v>
                </c:pt>
                <c:pt idx="4">
                  <c:v>5974.0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D8-4091-BD28-C9547615398B}"/>
            </c:ext>
          </c:extLst>
        </c:ser>
        <c:ser>
          <c:idx val="2"/>
          <c:order val="2"/>
          <c:tx>
            <c:strRef>
              <c:f>'Results by country'!$F$60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country'!$F$61:$F$65</c:f>
              <c:numCache>
                <c:formatCode>#,##0</c:formatCode>
                <c:ptCount val="5"/>
                <c:pt idx="0">
                  <c:v>60000.0</c:v>
                </c:pt>
                <c:pt idx="1">
                  <c:v>1.0E6</c:v>
                </c:pt>
                <c:pt idx="2">
                  <c:v>193117.0</c:v>
                </c:pt>
                <c:pt idx="3">
                  <c:v>197000.0</c:v>
                </c:pt>
                <c:pt idx="4">
                  <c:v>94026.0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D8-4091-BD28-C9547615398B}"/>
            </c:ext>
          </c:extLst>
        </c:ser>
        <c:ser>
          <c:idx val="3"/>
          <c:order val="3"/>
          <c:tx>
            <c:strRef>
              <c:f>'Results by country'!$G$60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country'!$G$61:$G$65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0.034415</c:v>
                </c:pt>
                <c:pt idx="3">
                  <c:v>0.015</c:v>
                </c:pt>
                <c:pt idx="4">
                  <c:v>0.05974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D8-4091-BD28-C954761539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496624"/>
        <c:axId val="-18564938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country'!$B$61:$B$65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people provided  essential drugs, including for malaria treatment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60000.0</c:v>
                      </c:pt>
                      <c:pt idx="1">
                        <c:v>1.0E6</c:v>
                      </c:pt>
                      <c:pt idx="2">
                        <c:v>200000.0</c:v>
                      </c:pt>
                      <c:pt idx="3">
                        <c:v>200000.0</c:v>
                      </c:pt>
                      <c:pt idx="4">
                        <c:v>100000.0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ED8-4091-BD28-C9547615398B}"/>
                  </c:ext>
                </c:extLst>
              </c15:ser>
            </c15:filteredBarSeries>
          </c:ext>
        </c:extLst>
      </c:barChart>
      <c:catAx>
        <c:axId val="-185649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493872"/>
        <c:crosses val="autoZero"/>
        <c:auto val="0"/>
        <c:lblAlgn val="ctr"/>
        <c:lblOffset val="100"/>
        <c:noMultiLvlLbl val="0"/>
      </c:catAx>
      <c:valAx>
        <c:axId val="-18564938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4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9"/>
          <c:y val="0.013386484137421"/>
          <c:w val="0.180212841502081"/>
          <c:h val="0.77298679667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country'!$E$83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country'!$E$84:$E$88</c:f>
              <c:numCache>
                <c:formatCode>#,##0</c:formatCode>
                <c:ptCount val="5"/>
                <c:pt idx="0">
                  <c:v>570.0</c:v>
                </c:pt>
                <c:pt idx="1">
                  <c:v>18733.0</c:v>
                </c:pt>
                <c:pt idx="2">
                  <c:v>0.0</c:v>
                </c:pt>
                <c:pt idx="3">
                  <c:v>30404.0</c:v>
                </c:pt>
                <c:pt idx="4">
                  <c:v>3941.0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06-4E69-8698-10B4BA79CAD6}"/>
            </c:ext>
          </c:extLst>
        </c:ser>
        <c:ser>
          <c:idx val="2"/>
          <c:order val="2"/>
          <c:tx>
            <c:strRef>
              <c:f>'Results by country'!$F$83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country'!$F$84:$F$88</c:f>
              <c:numCache>
                <c:formatCode>#,##0</c:formatCode>
                <c:ptCount val="5"/>
                <c:pt idx="0">
                  <c:v>2712.0</c:v>
                </c:pt>
                <c:pt idx="1">
                  <c:v>189667.0</c:v>
                </c:pt>
                <c:pt idx="2">
                  <c:v>18852.0</c:v>
                </c:pt>
                <c:pt idx="3">
                  <c:v>0.0</c:v>
                </c:pt>
                <c:pt idx="4">
                  <c:v>1444.0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06-4E69-8698-10B4BA79CAD6}"/>
            </c:ext>
          </c:extLst>
        </c:ser>
        <c:ser>
          <c:idx val="3"/>
          <c:order val="3"/>
          <c:tx>
            <c:strRef>
              <c:f>'Results by country'!$G$83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country'!$G$84:$G$88</c:f>
              <c:numCache>
                <c:formatCode>0%</c:formatCode>
                <c:ptCount val="5"/>
                <c:pt idx="0">
                  <c:v>0.173674588665448</c:v>
                </c:pt>
                <c:pt idx="1">
                  <c:v>0.0898896353166986</c:v>
                </c:pt>
                <c:pt idx="2">
                  <c:v>0.0</c:v>
                </c:pt>
                <c:pt idx="3">
                  <c:v>2.533666666666667</c:v>
                </c:pt>
                <c:pt idx="4">
                  <c:v>0.731847725162488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906-4E69-8698-10B4BA79CA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118112"/>
        <c:axId val="-18571153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country'!$D$83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country'!$D$84:$D$88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3282.0</c:v>
                      </c:pt>
                      <c:pt idx="1">
                        <c:v>208400.0</c:v>
                      </c:pt>
                      <c:pt idx="2">
                        <c:v>18852.0</c:v>
                      </c:pt>
                      <c:pt idx="3">
                        <c:v>12000.0</c:v>
                      </c:pt>
                      <c:pt idx="4">
                        <c:v>5385.0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906-4E69-8698-10B4BA79CAD6}"/>
                  </c:ext>
                </c:extLst>
              </c15:ser>
            </c15:filteredBarSeries>
          </c:ext>
        </c:extLst>
      </c:barChart>
      <c:catAx>
        <c:axId val="-1857118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115360"/>
        <c:crosses val="autoZero"/>
        <c:auto val="0"/>
        <c:lblAlgn val="ctr"/>
        <c:lblOffset val="100"/>
        <c:noMultiLvlLbl val="0"/>
      </c:catAx>
      <c:valAx>
        <c:axId val="-18571153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1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6096474407327"/>
          <c:y val="0.0558692605404875"/>
          <c:w val="0.313903525592673"/>
          <c:h val="0.313778842969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273.0</c:v>
                </c:pt>
                <c:pt idx="1">
                  <c:v>6690.0</c:v>
                </c:pt>
                <c:pt idx="2">
                  <c:v>1422.0</c:v>
                </c:pt>
                <c:pt idx="3">
                  <c:v>9253.0</c:v>
                </c:pt>
                <c:pt idx="4">
                  <c:v>98.0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3-445D-B94E-2EC9A612A940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127.0</c:v>
                </c:pt>
                <c:pt idx="1">
                  <c:v>5185.0</c:v>
                </c:pt>
                <c:pt idx="2">
                  <c:v>2118.0</c:v>
                </c:pt>
                <c:pt idx="3">
                  <c:v>5747.0</c:v>
                </c:pt>
                <c:pt idx="4">
                  <c:v>152.0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33-445D-B94E-2EC9A612A940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0.563368421052632</c:v>
                </c:pt>
                <c:pt idx="2">
                  <c:v>0.401694915254237</c:v>
                </c:pt>
                <c:pt idx="3">
                  <c:v>0.616866666666667</c:v>
                </c:pt>
                <c:pt idx="4">
                  <c:v>0.392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33-445D-B94E-2EC9A612A94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075488"/>
        <c:axId val="-18570727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400.0</c:v>
                      </c:pt>
                      <c:pt idx="1">
                        <c:v>11875.0</c:v>
                      </c:pt>
                      <c:pt idx="2">
                        <c:v>3540.0</c:v>
                      </c:pt>
                      <c:pt idx="3">
                        <c:v>15000.0</c:v>
                      </c:pt>
                      <c:pt idx="4">
                        <c:v>250.0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333-445D-B94E-2EC9A612A940}"/>
                  </c:ext>
                </c:extLst>
              </c15:ser>
            </c15:filteredBarSeries>
          </c:ext>
        </c:extLst>
      </c:barChart>
      <c:catAx>
        <c:axId val="-1857075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072736"/>
        <c:crosses val="autoZero"/>
        <c:auto val="0"/>
        <c:lblAlgn val="ctr"/>
        <c:lblOffset val="100"/>
        <c:noMultiLvlLbl val="0"/>
      </c:catAx>
      <c:valAx>
        <c:axId val="-18570727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0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135637809"/>
          <c:h val="0.43057309897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country'!$E$97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country'!$E$98:$E$102</c:f>
              <c:numCache>
                <c:formatCode>#,##0</c:formatCode>
                <c:ptCount val="5"/>
                <c:pt idx="0">
                  <c:v>186.0</c:v>
                </c:pt>
                <c:pt idx="1">
                  <c:v>3334.0</c:v>
                </c:pt>
                <c:pt idx="2">
                  <c:v>35480.0</c:v>
                </c:pt>
                <c:pt idx="3">
                  <c:v>30124.0</c:v>
                </c:pt>
                <c:pt idx="4">
                  <c:v>1678.0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D4-40AE-B5C6-701763D5D6CB}"/>
            </c:ext>
          </c:extLst>
        </c:ser>
        <c:ser>
          <c:idx val="2"/>
          <c:order val="2"/>
          <c:tx>
            <c:strRef>
              <c:f>'Results by country'!$F$97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country'!$F$98:$F$102</c:f>
              <c:numCache>
                <c:formatCode>#,##0</c:formatCode>
                <c:ptCount val="5"/>
                <c:pt idx="0">
                  <c:v>273.0</c:v>
                </c:pt>
                <c:pt idx="1">
                  <c:v>166.0</c:v>
                </c:pt>
                <c:pt idx="2">
                  <c:v>810.0</c:v>
                </c:pt>
                <c:pt idx="3">
                  <c:v>23979.0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4-40AE-B5C6-701763D5D6CB}"/>
            </c:ext>
          </c:extLst>
        </c:ser>
        <c:ser>
          <c:idx val="3"/>
          <c:order val="3"/>
          <c:tx>
            <c:strRef>
              <c:f>'Results by country'!$G$97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country'!$G$98:$G$102</c:f>
              <c:numCache>
                <c:formatCode>0%</c:formatCode>
                <c:ptCount val="5"/>
                <c:pt idx="0">
                  <c:v>0.405228758169935</c:v>
                </c:pt>
                <c:pt idx="1">
                  <c:v>0.952571428571429</c:v>
                </c:pt>
                <c:pt idx="2">
                  <c:v>0.977679801598236</c:v>
                </c:pt>
                <c:pt idx="3">
                  <c:v>0.556789826811822</c:v>
                </c:pt>
                <c:pt idx="4">
                  <c:v>1.118666666666667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D4-40AE-B5C6-701763D5D6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27656432"/>
        <c:axId val="-18276536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country'!$B$98:$B$102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400.0</c:v>
                      </c:pt>
                      <c:pt idx="1">
                        <c:v>11875.0</c:v>
                      </c:pt>
                      <c:pt idx="2">
                        <c:v>3540.0</c:v>
                      </c:pt>
                      <c:pt idx="3">
                        <c:v>15000.0</c:v>
                      </c:pt>
                      <c:pt idx="4">
                        <c:v>250.0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8D4-40AE-B5C6-701763D5D6CB}"/>
                  </c:ext>
                </c:extLst>
              </c15:ser>
            </c15:filteredBarSeries>
          </c:ext>
        </c:extLst>
      </c:barChart>
      <c:catAx>
        <c:axId val="-182765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27653680"/>
        <c:crosses val="autoZero"/>
        <c:auto val="0"/>
        <c:lblAlgn val="ctr"/>
        <c:lblOffset val="100"/>
        <c:noMultiLvlLbl val="0"/>
      </c:catAx>
      <c:valAx>
        <c:axId val="-18276536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276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135637809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country'!$E$104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country'!$E$105:$E$109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C6-463F-B81A-1E536E6ACEA2}"/>
            </c:ext>
          </c:extLst>
        </c:ser>
        <c:ser>
          <c:idx val="2"/>
          <c:order val="2"/>
          <c:tx>
            <c:strRef>
              <c:f>'Results by country'!$F$104</c:f>
              <c:strCache>
                <c:ptCount val="1"/>
                <c:pt idx="0">
                  <c:v>GAP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country'!$F$105:$F$109</c:f>
              <c:numCache>
                <c:formatCode>#,##0</c:formatCode>
                <c:ptCount val="5"/>
                <c:pt idx="0">
                  <c:v>200.0</c:v>
                </c:pt>
                <c:pt idx="1">
                  <c:v>4000.0</c:v>
                </c:pt>
                <c:pt idx="2">
                  <c:v>1600.0</c:v>
                </c:pt>
                <c:pt idx="3">
                  <c:v>10000.0</c:v>
                </c:pt>
                <c:pt idx="4">
                  <c:v>250.0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C6-463F-B81A-1E536E6ACEA2}"/>
            </c:ext>
          </c:extLst>
        </c:ser>
        <c:ser>
          <c:idx val="3"/>
          <c:order val="3"/>
          <c:tx>
            <c:strRef>
              <c:f>'Results by country'!$G$104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country'!$G$105:$G$109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C6-463F-B81A-1E536E6ACE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5801984"/>
        <c:axId val="-18557995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country'!$B$105:$B$109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400.0</c:v>
                      </c:pt>
                      <c:pt idx="1">
                        <c:v>11875.0</c:v>
                      </c:pt>
                      <c:pt idx="2">
                        <c:v>3540.0</c:v>
                      </c:pt>
                      <c:pt idx="3">
                        <c:v>15000.0</c:v>
                      </c:pt>
                      <c:pt idx="4">
                        <c:v>250.0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EC6-463F-B81A-1E536E6ACEA2}"/>
                  </c:ext>
                </c:extLst>
              </c15:ser>
            </c15:filteredBarSeries>
          </c:ext>
        </c:extLst>
      </c:barChart>
      <c:catAx>
        <c:axId val="-1855801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5799504"/>
        <c:crosses val="autoZero"/>
        <c:auto val="0"/>
        <c:lblAlgn val="ctr"/>
        <c:lblOffset val="100"/>
        <c:noMultiLvlLbl val="0"/>
      </c:catAx>
      <c:valAx>
        <c:axId val="-185579950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58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2"/>
          <c:y val="0.0133865766292232"/>
          <c:w val="0.229008135637809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country'!$E$69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country'!$E$70:$E$74</c:f>
              <c:numCache>
                <c:formatCode>#,##0</c:formatCode>
                <c:ptCount val="5"/>
                <c:pt idx="0">
                  <c:v>1029.0</c:v>
                </c:pt>
                <c:pt idx="1">
                  <c:v>31100.0</c:v>
                </c:pt>
                <c:pt idx="2">
                  <c:v>36902.0</c:v>
                </c:pt>
                <c:pt idx="3">
                  <c:v>88418.0</c:v>
                </c:pt>
                <c:pt idx="4">
                  <c:v>6917.0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5-4DF6-B3DB-9B266A90DB91}"/>
            </c:ext>
          </c:extLst>
        </c:ser>
        <c:ser>
          <c:idx val="2"/>
          <c:order val="2"/>
          <c:tx>
            <c:strRef>
              <c:f>'Results by country'!$F$69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country'!$F$70:$F$74</c:f>
              <c:numCache>
                <c:formatCode>#,##0</c:formatCode>
                <c:ptCount val="5"/>
                <c:pt idx="0">
                  <c:v>9484.0</c:v>
                </c:pt>
                <c:pt idx="1">
                  <c:v>208675.0</c:v>
                </c:pt>
                <c:pt idx="2">
                  <c:v>40630.0</c:v>
                </c:pt>
                <c:pt idx="3">
                  <c:v>53096.0</c:v>
                </c:pt>
                <c:pt idx="4">
                  <c:v>9388.0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5-4DF6-B3DB-9B266A90DB91}"/>
            </c:ext>
          </c:extLst>
        </c:ser>
        <c:ser>
          <c:idx val="3"/>
          <c:order val="3"/>
          <c:tx>
            <c:strRef>
              <c:f>'Results by country'!$G$69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country'!$G$70:$G$74</c:f>
              <c:numCache>
                <c:formatCode>0%</c:formatCode>
                <c:ptCount val="5"/>
                <c:pt idx="0">
                  <c:v>0.0978788167031294</c:v>
                </c:pt>
                <c:pt idx="1">
                  <c:v>0.129704931706808</c:v>
                </c:pt>
                <c:pt idx="2">
                  <c:v>0.475958313986483</c:v>
                </c:pt>
                <c:pt idx="3">
                  <c:v>0.624800373107961</c:v>
                </c:pt>
                <c:pt idx="4">
                  <c:v>0.424225697638761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35-4DF6-B3DB-9B266A90DB9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5759952"/>
        <c:axId val="-18557572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country'!$B$70:$B$74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60000.0</c:v>
                      </c:pt>
                      <c:pt idx="1">
                        <c:v>1.0E6</c:v>
                      </c:pt>
                      <c:pt idx="2">
                        <c:v>200000.0</c:v>
                      </c:pt>
                      <c:pt idx="3">
                        <c:v>200000.0</c:v>
                      </c:pt>
                      <c:pt idx="4">
                        <c:v>100000.0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935-4DF6-B3DB-9B266A90DB91}"/>
                  </c:ext>
                </c:extLst>
              </c15:ser>
            </c15:filteredBarSeries>
          </c:ext>
        </c:extLst>
      </c:barChart>
      <c:catAx>
        <c:axId val="-1855759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5757200"/>
        <c:crosses val="autoZero"/>
        <c:auto val="0"/>
        <c:lblAlgn val="ctr"/>
        <c:lblOffset val="100"/>
        <c:noMultiLvlLbl val="0"/>
      </c:catAx>
      <c:valAx>
        <c:axId val="-18557572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57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9"/>
          <c:y val="0.013386484137421"/>
          <c:w val="0.180212841502081"/>
          <c:h val="0.77298679667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sector'!$E$12:$E$15</c:f>
              <c:numCache>
                <c:formatCode>#,##0</c:formatCode>
                <c:ptCount val="4"/>
                <c:pt idx="0">
                  <c:v>124240.0</c:v>
                </c:pt>
                <c:pt idx="1">
                  <c:v>45584.0</c:v>
                </c:pt>
                <c:pt idx="2">
                  <c:v>45254.0</c:v>
                </c:pt>
                <c:pt idx="3">
                  <c:v>33402.0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2-4170-9ECF-7FC38ECED4B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sector'!$F$12:$F$15</c:f>
              <c:numCache>
                <c:formatCode>#,##0</c:formatCode>
                <c:ptCount val="4"/>
                <c:pt idx="0">
                  <c:v>65330.0</c:v>
                </c:pt>
                <c:pt idx="1">
                  <c:v>4416.0</c:v>
                </c:pt>
                <c:pt idx="2">
                  <c:v>7746.0</c:v>
                </c:pt>
                <c:pt idx="3">
                  <c:v>53168.0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2-4170-9ECF-7FC38ECED4B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sector'!$G$12:$G$15</c:f>
              <c:numCache>
                <c:formatCode>0%</c:formatCode>
                <c:ptCount val="4"/>
                <c:pt idx="0">
                  <c:v>0.655377960647782</c:v>
                </c:pt>
                <c:pt idx="1">
                  <c:v>0.91168</c:v>
                </c:pt>
                <c:pt idx="2">
                  <c:v>0.853849056603774</c:v>
                </c:pt>
                <c:pt idx="3">
                  <c:v>0.38583805013284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2-4170-9ECF-7FC38ECED4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907849312"/>
        <c:axId val="-19078469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sector'!$B$12:$C$15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sector'!$D$12:$D$15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189570.0</c:v>
                      </c:pt>
                      <c:pt idx="1">
                        <c:v>50000.0</c:v>
                      </c:pt>
                      <c:pt idx="2">
                        <c:v>53000.0</c:v>
                      </c:pt>
                      <c:pt idx="3">
                        <c:v>86570.0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E12-4170-9ECF-7FC38ECED4B5}"/>
                  </c:ext>
                </c:extLst>
              </c15:ser>
            </c15:filteredBarSeries>
          </c:ext>
        </c:extLst>
      </c:barChart>
      <c:catAx>
        <c:axId val="-190784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7846992"/>
        <c:crosses val="autoZero"/>
        <c:auto val="0"/>
        <c:lblAlgn val="ctr"/>
        <c:lblOffset val="100"/>
        <c:noMultiLvlLbl val="0"/>
      </c:catAx>
      <c:valAx>
        <c:axId val="-19078469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9078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"/>
          <c:y val="0.0120661683415795"/>
          <c:w val="0.194015513336541"/>
          <c:h val="0.980996318273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sector'!$E$17:$E$20</c:f>
              <c:numCache>
                <c:formatCode>#,##0</c:formatCode>
                <c:ptCount val="4"/>
                <c:pt idx="0">
                  <c:v>67561.0</c:v>
                </c:pt>
                <c:pt idx="1">
                  <c:v>0.0</c:v>
                </c:pt>
                <c:pt idx="2">
                  <c:v>34768.0</c:v>
                </c:pt>
                <c:pt idx="3">
                  <c:v>32793.0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99-4066-AEA3-BA035EDCD02E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sector'!$F$17:$F$20</c:f>
              <c:numCache>
                <c:formatCode>#,##0</c:formatCode>
                <c:ptCount val="4"/>
                <c:pt idx="0">
                  <c:v>318739.0</c:v>
                </c:pt>
                <c:pt idx="1">
                  <c:v>3300.0</c:v>
                </c:pt>
                <c:pt idx="2">
                  <c:v>257232.0</c:v>
                </c:pt>
                <c:pt idx="3">
                  <c:v>58207.0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99-4066-AEA3-BA035EDCD02E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sector'!$G$17:$G$20</c:f>
              <c:numCache>
                <c:formatCode>0%</c:formatCode>
                <c:ptCount val="4"/>
                <c:pt idx="0">
                  <c:v>0.17489257054103</c:v>
                </c:pt>
                <c:pt idx="1">
                  <c:v>0.0</c:v>
                </c:pt>
                <c:pt idx="2">
                  <c:v>0.119068493150685</c:v>
                </c:pt>
                <c:pt idx="3">
                  <c:v>0.360362637362637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99-4066-AEA3-BA035EDCD02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990489920"/>
        <c:axId val="-19902163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sector'!$B$17:$C$20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sector'!$D$17:$D$20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386300.0</c:v>
                      </c:pt>
                      <c:pt idx="1">
                        <c:v>3300.0</c:v>
                      </c:pt>
                      <c:pt idx="2">
                        <c:v>292000.0</c:v>
                      </c:pt>
                      <c:pt idx="3">
                        <c:v>91000.0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4599-4066-AEA3-BA035EDCD02E}"/>
                  </c:ext>
                </c:extLst>
              </c15:ser>
            </c15:filteredBarSeries>
          </c:ext>
        </c:extLst>
      </c:barChart>
      <c:catAx>
        <c:axId val="-1990489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90216320"/>
        <c:crosses val="autoZero"/>
        <c:auto val="0"/>
        <c:lblAlgn val="ctr"/>
        <c:lblOffset val="100"/>
        <c:noMultiLvlLbl val="0"/>
      </c:catAx>
      <c:valAx>
        <c:axId val="-199021632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9904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"/>
          <c:y val="0.0331801328988353"/>
          <c:w val="0.222202384788233"/>
          <c:h val="0.966819867101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sector'!$E$22:$E$25</c:f>
              <c:numCache>
                <c:formatCode>#,##0</c:formatCode>
                <c:ptCount val="4"/>
                <c:pt idx="0">
                  <c:v>8700.0</c:v>
                </c:pt>
                <c:pt idx="1">
                  <c:v>201.0</c:v>
                </c:pt>
                <c:pt idx="2">
                  <c:v>3525.0</c:v>
                </c:pt>
                <c:pt idx="3">
                  <c:v>4974.0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B-4003-8A81-F67B2FDA2A01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sector'!$F$22:$F$25</c:f>
              <c:numCache>
                <c:formatCode>#,##0</c:formatCode>
                <c:ptCount val="4"/>
                <c:pt idx="0">
                  <c:v>32444.0</c:v>
                </c:pt>
                <c:pt idx="1">
                  <c:v>11269.0</c:v>
                </c:pt>
                <c:pt idx="2">
                  <c:v>15116.0</c:v>
                </c:pt>
                <c:pt idx="3">
                  <c:v>6059.0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B-4003-8A81-F67B2FDA2A01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sector'!$G$22:$G$25</c:f>
              <c:numCache>
                <c:formatCode>0%</c:formatCode>
                <c:ptCount val="4"/>
                <c:pt idx="0">
                  <c:v>0.211452459653898</c:v>
                </c:pt>
                <c:pt idx="1">
                  <c:v>0.0175239755884917</c:v>
                </c:pt>
                <c:pt idx="2">
                  <c:v>0.189099297248002</c:v>
                </c:pt>
                <c:pt idx="3">
                  <c:v>0.450829330191244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DB-4003-8A81-F67B2FDA2A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908836784"/>
        <c:axId val="-18576329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sector'!$B$22:$C$25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sector'!$D$22:$D$25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41144.0</c:v>
                      </c:pt>
                      <c:pt idx="1">
                        <c:v>11470.0</c:v>
                      </c:pt>
                      <c:pt idx="2">
                        <c:v>18641.0</c:v>
                      </c:pt>
                      <c:pt idx="3">
                        <c:v>11033.0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2DB-4003-8A81-F67B2FDA2A01}"/>
                  </c:ext>
                </c:extLst>
              </c15:ser>
            </c15:filteredBarSeries>
          </c:ext>
        </c:extLst>
      </c:barChart>
      <c:catAx>
        <c:axId val="-190883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632976"/>
        <c:crosses val="autoZero"/>
        <c:auto val="0"/>
        <c:lblAlgn val="ctr"/>
        <c:lblOffset val="100"/>
        <c:noMultiLvlLbl val="0"/>
      </c:catAx>
      <c:valAx>
        <c:axId val="-18576329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9088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"/>
          <c:y val="0.0360577918224847"/>
          <c:w val="0.198572311071453"/>
          <c:h val="0.935675702197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sector'!$E$37:$E$40</c:f>
              <c:numCache>
                <c:formatCode>#,##0</c:formatCode>
                <c:ptCount val="4"/>
                <c:pt idx="0">
                  <c:v>1127.0</c:v>
                </c:pt>
                <c:pt idx="1">
                  <c:v>239.0</c:v>
                </c:pt>
                <c:pt idx="2">
                  <c:v>62.0</c:v>
                </c:pt>
                <c:pt idx="3">
                  <c:v>1065.0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99-46B8-BA97-E9417A607FE9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sector'!$F$37:$F$40</c:f>
              <c:numCache>
                <c:formatCode>#,##0</c:formatCode>
                <c:ptCount val="4"/>
                <c:pt idx="0">
                  <c:v>1277.0</c:v>
                </c:pt>
                <c:pt idx="1">
                  <c:v>848.0</c:v>
                </c:pt>
                <c:pt idx="2">
                  <c:v>238.0</c:v>
                </c:pt>
                <c:pt idx="3">
                  <c:v>1039.0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99-46B8-BA97-E9417A607FE9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sector'!$G$37:$G$40</c:f>
              <c:numCache>
                <c:formatCode>0%</c:formatCode>
                <c:ptCount val="4"/>
                <c:pt idx="0">
                  <c:v>0.468801996672213</c:v>
                </c:pt>
                <c:pt idx="1">
                  <c:v>0.219871205151794</c:v>
                </c:pt>
                <c:pt idx="2">
                  <c:v>0.206666666666667</c:v>
                </c:pt>
                <c:pt idx="3">
                  <c:v>0.506178707224335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99-46B8-BA97-E9417A607FE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5876800"/>
        <c:axId val="-18558744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sector'!$B$37:$C$40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sector'!$D$37:$D$40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2404.0</c:v>
                      </c:pt>
                      <c:pt idx="1">
                        <c:v>1087.0</c:v>
                      </c:pt>
                      <c:pt idx="2">
                        <c:v>300.0</c:v>
                      </c:pt>
                      <c:pt idx="3">
                        <c:v>2104.0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4E99-46B8-BA97-E9417A607FE9}"/>
                  </c:ext>
                </c:extLst>
              </c15:ser>
            </c15:filteredBarSeries>
          </c:ext>
        </c:extLst>
      </c:barChart>
      <c:catAx>
        <c:axId val="-1855876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5874480"/>
        <c:crosses val="autoZero"/>
        <c:auto val="0"/>
        <c:lblAlgn val="ctr"/>
        <c:lblOffset val="100"/>
        <c:noMultiLvlLbl val="0"/>
      </c:catAx>
      <c:valAx>
        <c:axId val="-18558744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5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1"/>
          <c:y val="0.0133865766292232"/>
          <c:w val="0.19563189191607"/>
          <c:h val="0.949089164484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sector'!$E$37:$E$45</c15:sqref>
                  </c15:fullRef>
                </c:ext>
              </c:extLst>
              <c:f>'Results by sector'!$E$42:$E$45</c:f>
              <c:numCache>
                <c:formatCode>#,##0</c:formatCode>
                <c:ptCount val="4"/>
                <c:pt idx="0">
                  <c:v>15884.0</c:v>
                </c:pt>
                <c:pt idx="1">
                  <c:v>20853.0</c:v>
                </c:pt>
                <c:pt idx="2">
                  <c:v>2097.0</c:v>
                </c:pt>
                <c:pt idx="3">
                  <c:v>13787.0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2A-4986-A452-2798810CEA03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sector'!$F$37:$F$45</c15:sqref>
                  </c15:fullRef>
                </c:ext>
              </c:extLst>
              <c:f>'Results by sector'!$F$42:$F$45</c:f>
              <c:numCache>
                <c:formatCode>#,##0</c:formatCode>
                <c:ptCount val="4"/>
                <c:pt idx="0">
                  <c:v>26016.0</c:v>
                </c:pt>
                <c:pt idx="1">
                  <c:v>0.0</c:v>
                </c:pt>
                <c:pt idx="2">
                  <c:v>7803.0</c:v>
                </c:pt>
                <c:pt idx="3">
                  <c:v>18213.0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2A-4986-A452-2798810CEA03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sector'!$G$37:$G$45</c15:sqref>
                  </c15:fullRef>
                </c:ext>
              </c:extLst>
              <c:f>'Results by sector'!$G$42:$G$45</c:f>
              <c:numCache>
                <c:formatCode>0%</c:formatCode>
                <c:ptCount val="4"/>
                <c:pt idx="0">
                  <c:v>0.37909307875895</c:v>
                </c:pt>
                <c:pt idx="1">
                  <c:v>1.263818181818182</c:v>
                </c:pt>
                <c:pt idx="3">
                  <c:v>0.43084375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2A-4986-A452-2798810CEA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5852208"/>
        <c:axId val="-18558498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sector'!$B$37:$C$45</c15:sqref>
                        </c15:fullRef>
                        <c15:formulaRef>
                          <c15:sqref>'Results by sector'!$B$42:$C$45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sector'!$D$37:$D$45</c15:sqref>
                        </c15:fullRef>
                        <c15:formulaRef>
                          <c15:sqref>'Results by sector'!$D$42:$D$45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41900.0</c:v>
                      </c:pt>
                      <c:pt idx="1">
                        <c:v>16500.0</c:v>
                      </c:pt>
                      <c:pt idx="2">
                        <c:v>9900.0</c:v>
                      </c:pt>
                      <c:pt idx="3">
                        <c:v>32000.0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442A-4986-A452-2798810CEA03}"/>
                  </c:ext>
                </c:extLst>
              </c15:ser>
            </c15:filteredBarSeries>
          </c:ext>
        </c:extLst>
      </c:barChart>
      <c:catAx>
        <c:axId val="-185585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5849888"/>
        <c:crosses val="autoZero"/>
        <c:auto val="0"/>
        <c:lblAlgn val="ctr"/>
        <c:lblOffset val="100"/>
        <c:noMultiLvlLbl val="0"/>
      </c:catAx>
      <c:valAx>
        <c:axId val="-18558498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58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"/>
          <c:y val="0.0212134271514342"/>
          <c:w val="0.208422816341176"/>
          <c:h val="0.9523187797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sector'!$E$37:$E$50</c15:sqref>
                  </c15:fullRef>
                </c:ext>
              </c:extLst>
              <c:f>'Results by sector'!$E$47:$E$50</c:f>
              <c:numCache>
                <c:formatCode>#,##0</c:formatCode>
                <c:ptCount val="4"/>
                <c:pt idx="0">
                  <c:v>93182.0</c:v>
                </c:pt>
                <c:pt idx="1">
                  <c:v>0.0</c:v>
                </c:pt>
                <c:pt idx="2">
                  <c:v>22947.0</c:v>
                </c:pt>
                <c:pt idx="3">
                  <c:v>70235.0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02-485A-A06B-65DB1A3813D8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sector'!$F$37:$F$50</c15:sqref>
                  </c15:fullRef>
                </c:ext>
              </c:extLst>
              <c:f>'Results by sector'!$F$47:$F$50</c:f>
              <c:numCache>
                <c:formatCode>#,##0</c:formatCode>
                <c:ptCount val="4"/>
                <c:pt idx="0">
                  <c:v>20818.0</c:v>
                </c:pt>
                <c:pt idx="1">
                  <c:v>2061.0</c:v>
                </c:pt>
                <c:pt idx="2">
                  <c:v>0.0</c:v>
                </c:pt>
                <c:pt idx="3">
                  <c:v>24765.0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02-485A-A06B-65DB1A3813D8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sector'!$G$37:$G$50</c15:sqref>
                  </c15:fullRef>
                </c:ext>
              </c:extLst>
              <c:f>'Results by sector'!$G$47:$G$50</c:f>
              <c:numCache>
                <c:formatCode>0%</c:formatCode>
                <c:ptCount val="4"/>
                <c:pt idx="0">
                  <c:v>0.817385964912281</c:v>
                </c:pt>
                <c:pt idx="1">
                  <c:v>0.0</c:v>
                </c:pt>
                <c:pt idx="2">
                  <c:v>1.207736842105263</c:v>
                </c:pt>
                <c:pt idx="3">
                  <c:v>0.739315789473684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02-485A-A06B-65DB1A3813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7494784"/>
        <c:axId val="-18574920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sector'!$B$37:$C$50</c15:sqref>
                        </c15:fullRef>
                        <c15:formulaRef>
                          <c15:sqref>'Results by sector'!$B$47:$C$50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sector'!$D$37:$D$50</c15:sqref>
                        </c15:fullRef>
                        <c15:formulaRef>
                          <c15:sqref>'Results by sector'!$D$47:$D$50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114000.0</c:v>
                      </c:pt>
                      <c:pt idx="1">
                        <c:v>2061.0</c:v>
                      </c:pt>
                      <c:pt idx="2">
                        <c:v>19000.0</c:v>
                      </c:pt>
                      <c:pt idx="3">
                        <c:v>95000.0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2102-485A-A06B-65DB1A3813D8}"/>
                  </c:ext>
                </c:extLst>
              </c15:ser>
            </c15:filteredBarSeries>
          </c:ext>
        </c:extLst>
      </c:barChart>
      <c:catAx>
        <c:axId val="-185749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7492032"/>
        <c:crosses val="autoZero"/>
        <c:auto val="0"/>
        <c:lblAlgn val="ctr"/>
        <c:lblOffset val="100"/>
        <c:noMultiLvlLbl val="0"/>
      </c:catAx>
      <c:valAx>
        <c:axId val="-185749203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74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"/>
          <c:y val="0.0120661683415795"/>
          <c:w val="0.194015513336541"/>
          <c:h val="0.980996318273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sector'!$E$37:$E$55</c15:sqref>
                  </c15:fullRef>
                </c:ext>
              </c:extLst>
              <c:f>'Results by sector'!$E$52:$E$55</c:f>
              <c:numCache>
                <c:formatCode>#,##0</c:formatCode>
                <c:ptCount val="4"/>
                <c:pt idx="0">
                  <c:v>137624.0</c:v>
                </c:pt>
                <c:pt idx="1">
                  <c:v>0.0</c:v>
                </c:pt>
                <c:pt idx="2">
                  <c:v>0.0</c:v>
                </c:pt>
                <c:pt idx="3">
                  <c:v>137624.0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13-4050-BC0B-402B5DBEFE42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sector'!$F$37:$F$55</c15:sqref>
                  </c15:fullRef>
                </c:ext>
              </c:extLst>
              <c:f>'Results by sector'!$F$52:$F$55</c:f>
              <c:numCache>
                <c:formatCode>#,##0</c:formatCode>
                <c:ptCount val="4"/>
                <c:pt idx="0">
                  <c:v>18626.0</c:v>
                </c:pt>
                <c:pt idx="1">
                  <c:v>15000.0</c:v>
                </c:pt>
                <c:pt idx="2">
                  <c:v>10000.0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13-4050-BC0B-402B5DBEFE42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sector'!$G$37:$G$55</c15:sqref>
                  </c15:fullRef>
                </c:ext>
              </c:extLst>
              <c:f>'Results by sector'!$G$52:$G$55</c:f>
              <c:numCache>
                <c:formatCode>0%</c:formatCode>
                <c:ptCount val="4"/>
                <c:pt idx="0">
                  <c:v>0.8807936</c:v>
                </c:pt>
                <c:pt idx="1">
                  <c:v>0.0</c:v>
                </c:pt>
                <c:pt idx="2">
                  <c:v>0.0</c:v>
                </c:pt>
                <c:pt idx="3">
                  <c:v>1.048563809523809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13-4050-BC0B-402B5DBEF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-1856761056"/>
        <c:axId val="-18567582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sector'!$B$37:$C$55</c15:sqref>
                        </c15:fullRef>
                        <c15:formulaRef>
                          <c15:sqref>'Results by sector'!$B$52:$C$55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sector'!$D$37:$D$55</c15:sqref>
                        </c15:fullRef>
                        <c15:formulaRef>
                          <c15:sqref>'Results by sector'!$D$52:$D$55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156250.0</c:v>
                      </c:pt>
                      <c:pt idx="1">
                        <c:v>15000.0</c:v>
                      </c:pt>
                      <c:pt idx="2">
                        <c:v>10000.0</c:v>
                      </c:pt>
                      <c:pt idx="3">
                        <c:v>131250.0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513-4050-BC0B-402B5DBEFE42}"/>
                  </c:ext>
                </c:extLst>
              </c15:ser>
            </c15:filteredBarSeries>
          </c:ext>
        </c:extLst>
      </c:barChart>
      <c:catAx>
        <c:axId val="-1856761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6758288"/>
        <c:crosses val="autoZero"/>
        <c:auto val="0"/>
        <c:lblAlgn val="ctr"/>
        <c:lblOffset val="100"/>
        <c:noMultiLvlLbl val="0"/>
      </c:catAx>
      <c:valAx>
        <c:axId val="-18567582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8567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"/>
          <c:y val="0.0331801328988353"/>
          <c:w val="0.222202384788233"/>
          <c:h val="0.966819867101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5" Type="http://schemas.openxmlformats.org/officeDocument/2006/relationships/chart" Target="../charts/chart2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29265</xdr:colOff>
      <xdr:row>0</xdr:row>
      <xdr:rowOff>960782</xdr:rowOff>
    </xdr:from>
    <xdr:to>
      <xdr:col>13</xdr:col>
      <xdr:colOff>173979</xdr:colOff>
      <xdr:row>5</xdr:row>
      <xdr:rowOff>709488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20983</xdr:colOff>
      <xdr:row>6</xdr:row>
      <xdr:rowOff>7456</xdr:rowOff>
    </xdr:from>
    <xdr:to>
      <xdr:col>13</xdr:col>
      <xdr:colOff>163281</xdr:colOff>
      <xdr:row>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20983</xdr:colOff>
      <xdr:row>10</xdr:row>
      <xdr:rowOff>606425</xdr:rowOff>
    </xdr:from>
    <xdr:to>
      <xdr:col>13</xdr:col>
      <xdr:colOff>165697</xdr:colOff>
      <xdr:row>15</xdr:row>
      <xdr:rowOff>530088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20983</xdr:colOff>
      <xdr:row>16</xdr:row>
      <xdr:rowOff>6073</xdr:rowOff>
    </xdr:from>
    <xdr:to>
      <xdr:col>13</xdr:col>
      <xdr:colOff>165697</xdr:colOff>
      <xdr:row>20</xdr:row>
      <xdr:rowOff>679174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20982</xdr:colOff>
      <xdr:row>21</xdr:row>
      <xdr:rowOff>24020</xdr:rowOff>
    </xdr:from>
    <xdr:to>
      <xdr:col>13</xdr:col>
      <xdr:colOff>165696</xdr:colOff>
      <xdr:row>27</xdr:row>
      <xdr:rowOff>147652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28549</xdr:colOff>
      <xdr:row>36</xdr:row>
      <xdr:rowOff>8284</xdr:rowOff>
    </xdr:from>
    <xdr:to>
      <xdr:col>13</xdr:col>
      <xdr:colOff>465871</xdr:colOff>
      <xdr:row>40</xdr:row>
      <xdr:rowOff>496956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28550</xdr:colOff>
      <xdr:row>41</xdr:row>
      <xdr:rowOff>16565</xdr:rowOff>
    </xdr:from>
    <xdr:to>
      <xdr:col>13</xdr:col>
      <xdr:colOff>465872</xdr:colOff>
      <xdr:row>45</xdr:row>
      <xdr:rowOff>513522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28550</xdr:colOff>
      <xdr:row>46</xdr:row>
      <xdr:rowOff>2208</xdr:rowOff>
    </xdr:from>
    <xdr:to>
      <xdr:col>13</xdr:col>
      <xdr:colOff>465872</xdr:colOff>
      <xdr:row>50</xdr:row>
      <xdr:rowOff>637761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28550</xdr:colOff>
      <xdr:row>51</xdr:row>
      <xdr:rowOff>22639</xdr:rowOff>
    </xdr:from>
    <xdr:to>
      <xdr:col>13</xdr:col>
      <xdr:colOff>465872</xdr:colOff>
      <xdr:row>55</xdr:row>
      <xdr:rowOff>430695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28550</xdr:colOff>
      <xdr:row>56</xdr:row>
      <xdr:rowOff>15737</xdr:rowOff>
    </xdr:from>
    <xdr:to>
      <xdr:col>13</xdr:col>
      <xdr:colOff>465872</xdr:colOff>
      <xdr:row>61</xdr:row>
      <xdr:rowOff>16566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33131</xdr:colOff>
      <xdr:row>69</xdr:row>
      <xdr:rowOff>33130</xdr:rowOff>
    </xdr:from>
    <xdr:to>
      <xdr:col>13</xdr:col>
      <xdr:colOff>470453</xdr:colOff>
      <xdr:row>75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76</xdr:row>
      <xdr:rowOff>1</xdr:rowOff>
    </xdr:from>
    <xdr:to>
      <xdr:col>14</xdr:col>
      <xdr:colOff>175629</xdr:colOff>
      <xdr:row>82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5FED71AD-D51E-48DA-8D30-C50E6ED6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112568</xdr:colOff>
      <xdr:row>5</xdr:row>
      <xdr:rowOff>303068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14</xdr:row>
      <xdr:rowOff>45605</xdr:rowOff>
    </xdr:from>
    <xdr:to>
      <xdr:col>14</xdr:col>
      <xdr:colOff>184012</xdr:colOff>
      <xdr:row>20</xdr:row>
      <xdr:rowOff>23957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134216</xdr:colOff>
      <xdr:row>26</xdr:row>
      <xdr:rowOff>266989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</xdr:row>
      <xdr:rowOff>7216</xdr:rowOff>
    </xdr:from>
    <xdr:to>
      <xdr:col>14</xdr:col>
      <xdr:colOff>112568</xdr:colOff>
      <xdr:row>13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134216</xdr:colOff>
      <xdr:row>50</xdr:row>
      <xdr:rowOff>266989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134216</xdr:colOff>
      <xdr:row>57</xdr:row>
      <xdr:rowOff>485775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134216</xdr:colOff>
      <xdr:row>81</xdr:row>
      <xdr:rowOff>8283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112568</xdr:colOff>
      <xdr:row>34</xdr:row>
      <xdr:rowOff>303068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36</xdr:row>
      <xdr:rowOff>30307</xdr:rowOff>
    </xdr:from>
    <xdr:to>
      <xdr:col>14</xdr:col>
      <xdr:colOff>127288</xdr:colOff>
      <xdr:row>43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134216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AA4EF9F-2A83-4843-A229-CE576980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134216</xdr:colOff>
      <xdr:row>88</xdr:row>
      <xdr:rowOff>8283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31095B4F-4B57-4FB8-A3B0-AEF250FB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89</xdr:row>
      <xdr:rowOff>1</xdr:rowOff>
    </xdr:from>
    <xdr:to>
      <xdr:col>14</xdr:col>
      <xdr:colOff>175629</xdr:colOff>
      <xdr:row>95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1FFD5C3A-0BEA-4643-97B1-1F46E036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95</xdr:row>
      <xdr:rowOff>190500</xdr:rowOff>
    </xdr:from>
    <xdr:to>
      <xdr:col>14</xdr:col>
      <xdr:colOff>191366</xdr:colOff>
      <xdr:row>101</xdr:row>
      <xdr:rowOff>494057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EE29456E-69B7-45AD-ACD4-69792D03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102</xdr:row>
      <xdr:rowOff>180975</xdr:rowOff>
    </xdr:from>
    <xdr:to>
      <xdr:col>14</xdr:col>
      <xdr:colOff>258041</xdr:colOff>
      <xdr:row>108</xdr:row>
      <xdr:rowOff>484532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A4316F5-B036-4FFC-84D1-BC75CA98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</xdr:colOff>
      <xdr:row>67</xdr:row>
      <xdr:rowOff>47625</xdr:rowOff>
    </xdr:from>
    <xdr:to>
      <xdr:col>14</xdr:col>
      <xdr:colOff>172316</xdr:colOff>
      <xdr:row>74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646569DB-611A-4E94-8F79-AC8D5CDF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inha/Desktop/13%20Information%20Management/Regional%20database/Dashboards/Excel/Old%20db/UNICEF%20ESARO%20Regional%20refugee%20db%2031%20Dec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inha/Desktop/13%20Information%20Management/Regional%20database/Dashboards/Excel/Old%20db/UNICEF%20ESARO%20Regional%20refugee%20db_august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inha/Desktop/13%20Information%20Management/Regional%20database/Dashboards/Excel/UNICEF%20ESARO%20Regional%20db%202018%20Jun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and Funding summary"/>
      <sheetName val="Results by sector"/>
      <sheetName val="Results by country"/>
      <sheetName val=" Global Refugees"/>
      <sheetName val="Great Lakes Refugees"/>
    </sheetNames>
    <sheetDataSet>
      <sheetData sheetId="0"/>
      <sheetData sheetId="1"/>
      <sheetData sheetId="2">
        <row r="79">
          <cell r="E79">
            <v>36641</v>
          </cell>
        </row>
        <row r="80">
          <cell r="E80">
            <v>596684</v>
          </cell>
        </row>
        <row r="81">
          <cell r="E81">
            <v>320406</v>
          </cell>
        </row>
        <row r="82">
          <cell r="E82">
            <v>655310</v>
          </cell>
        </row>
        <row r="83">
          <cell r="E83">
            <v>65913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and Funding summary"/>
      <sheetName val="Results by sector"/>
      <sheetName val="Results by country"/>
    </sheetNames>
    <sheetDataSet>
      <sheetData sheetId="0"/>
      <sheetData sheetId="1">
        <row r="79">
          <cell r="H79">
            <v>57813</v>
          </cell>
        </row>
        <row r="80">
          <cell r="H80">
            <v>442831</v>
          </cell>
        </row>
        <row r="81">
          <cell r="H81">
            <v>203185</v>
          </cell>
        </row>
        <row r="82">
          <cell r="H82">
            <v>206137</v>
          </cell>
        </row>
        <row r="83">
          <cell r="H83">
            <v>21089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Results by sector"/>
      <sheetName val="Funding summary"/>
      <sheetName val="Eth"/>
      <sheetName val="Ken"/>
      <sheetName val="Som"/>
      <sheetName val="Eri"/>
      <sheetName val="SSudan"/>
      <sheetName val="Bdi"/>
      <sheetName val="Uga"/>
      <sheetName val="Ang"/>
      <sheetName val="Md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C3">
            <v>60000</v>
          </cell>
        </row>
        <row r="4">
          <cell r="C4">
            <v>200000</v>
          </cell>
        </row>
        <row r="7">
          <cell r="C7">
            <v>1000000</v>
          </cell>
        </row>
        <row r="8">
          <cell r="C8">
            <v>200000</v>
          </cell>
        </row>
        <row r="10">
          <cell r="C10">
            <v>100000</v>
          </cell>
        </row>
      </sheetData>
      <sheetData sheetId="10">
        <row r="2">
          <cell r="C2">
            <v>21914</v>
          </cell>
        </row>
        <row r="5">
          <cell r="C5">
            <v>123361</v>
          </cell>
        </row>
        <row r="6">
          <cell r="C6">
            <v>776900</v>
          </cell>
        </row>
        <row r="8">
          <cell r="C8">
            <v>133000</v>
          </cell>
        </row>
        <row r="11">
          <cell r="C11">
            <v>16544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12.33203125" customWidth="1"/>
    <col min="2" max="2" width="25" style="176" customWidth="1"/>
    <col min="3" max="3" width="13.1640625" customWidth="1"/>
    <col min="4" max="4" width="11.5" bestFit="1" customWidth="1"/>
  </cols>
  <sheetData>
    <row r="1" spans="1:4" x14ac:dyDescent="0.2">
      <c r="A1" s="94" t="s">
        <v>7</v>
      </c>
      <c r="B1" s="177" t="s">
        <v>83</v>
      </c>
    </row>
    <row r="2" spans="1:4" x14ac:dyDescent="0.2">
      <c r="A2" s="94" t="s">
        <v>140</v>
      </c>
      <c r="B2" s="177" t="s">
        <v>141</v>
      </c>
    </row>
    <row r="3" spans="1:4" x14ac:dyDescent="0.2">
      <c r="A3" s="178" t="s">
        <v>2</v>
      </c>
      <c r="B3" s="175"/>
    </row>
    <row r="4" spans="1:4" x14ac:dyDescent="0.2">
      <c r="A4" s="178" t="s">
        <v>0</v>
      </c>
      <c r="B4" s="181">
        <v>2800000</v>
      </c>
    </row>
    <row r="5" spans="1:4" x14ac:dyDescent="0.2">
      <c r="A5" s="178" t="s">
        <v>1</v>
      </c>
      <c r="B5" s="181">
        <v>309200</v>
      </c>
    </row>
    <row r="6" spans="1:4" x14ac:dyDescent="0.2">
      <c r="A6" s="178" t="s">
        <v>42</v>
      </c>
      <c r="B6" s="175"/>
    </row>
    <row r="7" spans="1:4" x14ac:dyDescent="0.2">
      <c r="A7" s="178" t="s">
        <v>53</v>
      </c>
      <c r="B7" s="181">
        <v>1900000</v>
      </c>
    </row>
    <row r="8" spans="1:4" x14ac:dyDescent="0.2">
      <c r="A8" s="178" t="s">
        <v>37</v>
      </c>
      <c r="B8" s="175"/>
    </row>
    <row r="9" spans="1:4" x14ac:dyDescent="0.2">
      <c r="A9" s="178" t="s">
        <v>56</v>
      </c>
      <c r="B9" s="181">
        <v>174011</v>
      </c>
      <c r="D9" s="210"/>
    </row>
    <row r="10" spans="1:4" x14ac:dyDescent="0.2">
      <c r="A10" s="178" t="s">
        <v>36</v>
      </c>
      <c r="B10" s="175"/>
    </row>
    <row r="11" spans="1:4" x14ac:dyDescent="0.2">
      <c r="A11" s="178" t="s">
        <v>59</v>
      </c>
      <c r="B11" s="175"/>
    </row>
    <row r="12" spans="1:4" x14ac:dyDescent="0.2">
      <c r="A12" s="178" t="s">
        <v>57</v>
      </c>
      <c r="B12" s="175"/>
    </row>
    <row r="13" spans="1:4" x14ac:dyDescent="0.2">
      <c r="A13" s="178" t="s">
        <v>93</v>
      </c>
      <c r="B13" s="181">
        <v>2100000</v>
      </c>
    </row>
    <row r="14" spans="1:4" x14ac:dyDescent="0.2">
      <c r="A14" s="178" t="s">
        <v>94</v>
      </c>
      <c r="B14" s="175"/>
    </row>
    <row r="15" spans="1:4" x14ac:dyDescent="0.2">
      <c r="A15" s="178" t="s">
        <v>95</v>
      </c>
      <c r="B15" s="175"/>
    </row>
    <row r="16" spans="1:4" x14ac:dyDescent="0.2">
      <c r="A16" s="178" t="s">
        <v>96</v>
      </c>
      <c r="B16" s="175"/>
    </row>
    <row r="17" spans="1:2" x14ac:dyDescent="0.2">
      <c r="A17" s="178" t="s">
        <v>54</v>
      </c>
      <c r="B17" s="175"/>
    </row>
    <row r="18" spans="1:2" x14ac:dyDescent="0.2">
      <c r="A18" s="178" t="s">
        <v>97</v>
      </c>
      <c r="B18" s="175"/>
    </row>
    <row r="19" spans="1:2" x14ac:dyDescent="0.2">
      <c r="A19" s="178" t="s">
        <v>98</v>
      </c>
      <c r="B19" s="175"/>
    </row>
    <row r="20" spans="1:2" x14ac:dyDescent="0.2">
      <c r="A20" s="179"/>
      <c r="B20" s="180">
        <f>SUM(B3:B19)</f>
        <v>7283211</v>
      </c>
    </row>
    <row r="22" spans="1:2" x14ac:dyDescent="0.2">
      <c r="A22" t="s">
        <v>99</v>
      </c>
    </row>
  </sheetData>
  <pageMargins left="0.7" right="0.7" top="0.75" bottom="0.75" header="0.3" footer="0.3"/>
  <pageSetup paperSize="20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E1" workbookViewId="0">
      <selection activeCell="L7" sqref="L7"/>
    </sheetView>
  </sheetViews>
  <sheetFormatPr baseColWidth="10" defaultColWidth="8.83203125" defaultRowHeight="15" x14ac:dyDescent="0.2"/>
  <cols>
    <col min="1" max="1" width="12.33203125" customWidth="1"/>
    <col min="2" max="2" width="14.1640625" customWidth="1"/>
    <col min="3" max="3" width="16.33203125" bestFit="1" customWidth="1"/>
    <col min="4" max="4" width="13.83203125" customWidth="1"/>
    <col min="5" max="5" width="16.33203125" bestFit="1" customWidth="1"/>
    <col min="6" max="6" width="17.6640625" customWidth="1"/>
    <col min="7" max="7" width="29.5" customWidth="1"/>
    <col min="8" max="8" width="28.83203125" customWidth="1"/>
    <col min="9" max="9" width="28.83203125" style="166" customWidth="1"/>
    <col min="10" max="10" width="21.5" customWidth="1"/>
    <col min="11" max="11" width="17.5" customWidth="1"/>
    <col min="12" max="12" width="11.5" bestFit="1" customWidth="1"/>
    <col min="13" max="13" width="12.5" customWidth="1"/>
    <col min="14" max="14" width="11.1640625" customWidth="1"/>
    <col min="16" max="16" width="13.33203125" bestFit="1" customWidth="1"/>
  </cols>
  <sheetData>
    <row r="1" spans="1:17" ht="47" x14ac:dyDescent="0.3">
      <c r="A1" s="165" t="s">
        <v>7</v>
      </c>
      <c r="B1" s="165" t="s">
        <v>92</v>
      </c>
      <c r="C1" s="165" t="s">
        <v>31</v>
      </c>
      <c r="D1" s="192" t="s">
        <v>120</v>
      </c>
      <c r="E1" s="165" t="s">
        <v>31</v>
      </c>
      <c r="H1" s="200"/>
      <c r="I1" s="202"/>
      <c r="J1" s="201"/>
      <c r="K1" s="109"/>
    </row>
    <row r="2" spans="1:17" x14ac:dyDescent="0.2">
      <c r="A2" s="168" t="s">
        <v>2</v>
      </c>
      <c r="B2" s="169">
        <f>I5+I16+I29+I37</f>
        <v>1433709</v>
      </c>
      <c r="C2" s="169">
        <f>B2*'Situation and Fund summary'!O5</f>
        <v>874562.49</v>
      </c>
      <c r="D2" s="169">
        <v>1497126</v>
      </c>
      <c r="E2" s="169">
        <f>(C2/B2)*D2</f>
        <v>913246.86</v>
      </c>
      <c r="F2" s="93"/>
    </row>
    <row r="3" spans="1:17" x14ac:dyDescent="0.2">
      <c r="A3" s="168" t="s">
        <v>0</v>
      </c>
      <c r="B3" s="169">
        <f>I7+I36</f>
        <v>683044</v>
      </c>
      <c r="C3" s="169">
        <f>B3*'Situation and Fund summary'!O3</f>
        <v>437148.16000000003</v>
      </c>
      <c r="D3" s="169">
        <v>916678</v>
      </c>
      <c r="E3" s="169">
        <f t="shared" ref="E3:E16" si="0">(C3/B3)*D3</f>
        <v>586673.92000000004</v>
      </c>
      <c r="F3" s="250" t="s">
        <v>62</v>
      </c>
      <c r="G3" s="251"/>
      <c r="H3" s="251"/>
      <c r="I3" s="251"/>
      <c r="J3" s="251"/>
      <c r="K3" s="252"/>
      <c r="N3" s="206" t="s">
        <v>125</v>
      </c>
    </row>
    <row r="4" spans="1:17" ht="30" x14ac:dyDescent="0.2">
      <c r="A4" s="168" t="s">
        <v>1</v>
      </c>
      <c r="B4" s="169">
        <f>I35+I23+I6</f>
        <v>679941</v>
      </c>
      <c r="C4" s="169">
        <f>B4*'Situation and Fund summary'!O4</f>
        <v>448761.06</v>
      </c>
      <c r="D4" s="169">
        <v>486460</v>
      </c>
      <c r="E4" s="169">
        <f t="shared" si="0"/>
        <v>321063.60000000003</v>
      </c>
      <c r="F4" s="104" t="s">
        <v>60</v>
      </c>
      <c r="G4" s="104" t="s">
        <v>61</v>
      </c>
      <c r="H4" s="103" t="s">
        <v>68</v>
      </c>
      <c r="I4" s="203">
        <v>43320</v>
      </c>
      <c r="J4" s="94" t="s">
        <v>52</v>
      </c>
      <c r="K4" s="95" t="s">
        <v>7</v>
      </c>
      <c r="L4" t="s">
        <v>47</v>
      </c>
      <c r="M4" t="s">
        <v>14</v>
      </c>
      <c r="N4" s="207" t="s">
        <v>124</v>
      </c>
    </row>
    <row r="5" spans="1:17" x14ac:dyDescent="0.2">
      <c r="A5" s="168" t="s">
        <v>42</v>
      </c>
      <c r="B5" s="169">
        <f>I14+I25</f>
        <v>321786</v>
      </c>
      <c r="C5" s="169">
        <f>B5*'Situation and Fund summary'!O14</f>
        <v>183418.02</v>
      </c>
      <c r="D5" s="169">
        <v>743000</v>
      </c>
      <c r="E5" s="169">
        <f t="shared" si="0"/>
        <v>423509.99999999994</v>
      </c>
      <c r="F5" s="96">
        <v>195930</v>
      </c>
      <c r="G5" s="96">
        <v>662438</v>
      </c>
      <c r="H5" s="96">
        <v>1037898</v>
      </c>
      <c r="I5" s="204">
        <v>1065094</v>
      </c>
      <c r="J5" s="96">
        <v>1380000</v>
      </c>
      <c r="K5" s="97" t="s">
        <v>2</v>
      </c>
      <c r="L5" s="176">
        <f>0.6*I5</f>
        <v>639056.4</v>
      </c>
      <c r="M5" s="2">
        <f>I5/$I$10</f>
        <v>0.43168017794191438</v>
      </c>
      <c r="N5" s="208">
        <f>I5-H5</f>
        <v>27196</v>
      </c>
    </row>
    <row r="6" spans="1:17" x14ac:dyDescent="0.2">
      <c r="A6" s="168" t="s">
        <v>53</v>
      </c>
      <c r="B6" s="169">
        <f>I28</f>
        <v>15296</v>
      </c>
      <c r="C6" s="169">
        <f>B6*0.55</f>
        <v>8412.8000000000011</v>
      </c>
      <c r="D6" s="169">
        <f>B6</f>
        <v>15296</v>
      </c>
      <c r="E6" s="169">
        <f t="shared" si="0"/>
        <v>8412.8000000000011</v>
      </c>
      <c r="F6" s="96">
        <v>96702</v>
      </c>
      <c r="G6" s="96">
        <v>90664</v>
      </c>
      <c r="H6" s="96">
        <v>111612</v>
      </c>
      <c r="I6" s="204">
        <v>114466</v>
      </c>
      <c r="J6" s="96">
        <v>140000</v>
      </c>
      <c r="K6" s="97" t="s">
        <v>1</v>
      </c>
      <c r="L6" s="176">
        <v>75104</v>
      </c>
      <c r="M6" s="2">
        <f>I6/$I$10</f>
        <v>4.6392809694073167E-2</v>
      </c>
      <c r="N6" s="208">
        <f t="shared" ref="N6:N9" si="1">I6-H6</f>
        <v>2854</v>
      </c>
    </row>
    <row r="7" spans="1:17" x14ac:dyDescent="0.2">
      <c r="A7" s="168" t="s">
        <v>37</v>
      </c>
      <c r="B7" s="169">
        <v>144623</v>
      </c>
      <c r="C7" s="169">
        <f>B7*0.5</f>
        <v>72311.5</v>
      </c>
      <c r="D7" s="169">
        <v>172000</v>
      </c>
      <c r="E7" s="169">
        <f t="shared" si="0"/>
        <v>86000</v>
      </c>
      <c r="F7" s="96">
        <v>276556</v>
      </c>
      <c r="G7" s="96">
        <v>333381</v>
      </c>
      <c r="H7" s="96">
        <v>421453</v>
      </c>
      <c r="I7" s="204">
        <v>426550</v>
      </c>
      <c r="J7" s="96">
        <v>485000</v>
      </c>
      <c r="K7" s="97" t="s">
        <v>0</v>
      </c>
      <c r="L7" s="176">
        <f>0.64*I7</f>
        <v>272992</v>
      </c>
      <c r="M7" s="2">
        <f>I7/$I$10</f>
        <v>0.17287974573241757</v>
      </c>
      <c r="N7" s="208">
        <f t="shared" si="1"/>
        <v>5097</v>
      </c>
    </row>
    <row r="8" spans="1:17" x14ac:dyDescent="0.2">
      <c r="A8" s="168" t="s">
        <v>56</v>
      </c>
      <c r="B8" s="169">
        <f>I22</f>
        <v>71255</v>
      </c>
      <c r="C8" s="169">
        <f>B8*'Situation and Fund summary'!O26</f>
        <v>36340.050000000003</v>
      </c>
      <c r="D8" s="169">
        <f t="shared" ref="D8:D17" si="2">B8</f>
        <v>71255</v>
      </c>
      <c r="E8" s="169">
        <f t="shared" si="0"/>
        <v>36340.050000000003</v>
      </c>
      <c r="F8" s="96">
        <v>194240</v>
      </c>
      <c r="G8" s="96">
        <v>282079</v>
      </c>
      <c r="H8" s="96">
        <v>805169</v>
      </c>
      <c r="I8" s="204">
        <v>768125</v>
      </c>
      <c r="J8" s="114">
        <v>680000</v>
      </c>
      <c r="K8" s="97" t="s">
        <v>55</v>
      </c>
      <c r="L8" s="176"/>
      <c r="M8" s="2">
        <f>I8/$I$10</f>
        <v>0.31131931705711696</v>
      </c>
      <c r="N8" s="208">
        <f t="shared" si="1"/>
        <v>-37044</v>
      </c>
    </row>
    <row r="9" spans="1:17" x14ac:dyDescent="0.2">
      <c r="A9" s="168" t="s">
        <v>36</v>
      </c>
      <c r="B9" s="169">
        <f>I26</f>
        <v>35822</v>
      </c>
      <c r="C9" s="169">
        <f>B9*'Situation and Fund summary'!O21</f>
        <v>18892.522799999999</v>
      </c>
      <c r="D9" s="169">
        <v>80698</v>
      </c>
      <c r="E9" s="169">
        <f t="shared" si="0"/>
        <v>42560.125199999995</v>
      </c>
      <c r="F9" s="96">
        <v>3912</v>
      </c>
      <c r="G9" s="96">
        <v>64988</v>
      </c>
      <c r="H9" s="96">
        <v>87336</v>
      </c>
      <c r="I9" s="204">
        <v>93087</v>
      </c>
      <c r="J9" s="96">
        <v>120000</v>
      </c>
      <c r="K9" s="97" t="s">
        <v>57</v>
      </c>
      <c r="L9" s="176"/>
      <c r="M9" s="2">
        <f>I9/$I$10</f>
        <v>3.7727949574477913E-2</v>
      </c>
      <c r="N9" s="209">
        <f t="shared" si="1"/>
        <v>5751</v>
      </c>
    </row>
    <row r="10" spans="1:17" x14ac:dyDescent="0.2">
      <c r="A10" s="168" t="s">
        <v>59</v>
      </c>
      <c r="B10" s="169">
        <f>I27</f>
        <v>41407</v>
      </c>
      <c r="C10" s="169">
        <f>B10*'Situation and Fund summary'!O24</f>
        <v>21531.64</v>
      </c>
      <c r="D10" s="169">
        <v>72151</v>
      </c>
      <c r="E10" s="169">
        <f t="shared" si="0"/>
        <v>37518.520000000004</v>
      </c>
      <c r="F10" s="98">
        <f>SUM(F5:F9)</f>
        <v>767340</v>
      </c>
      <c r="G10" s="98">
        <f>SUM(G5:G9)</f>
        <v>1433550</v>
      </c>
      <c r="H10" s="98">
        <f>SUM(H5:H9)</f>
        <v>2463468</v>
      </c>
      <c r="I10" s="98">
        <f>SUM(I5:I9)</f>
        <v>2467322</v>
      </c>
      <c r="J10" s="98">
        <f>SUM(J5:J9)</f>
        <v>2805000</v>
      </c>
      <c r="K10" s="99" t="s">
        <v>58</v>
      </c>
      <c r="L10" s="176"/>
    </row>
    <row r="11" spans="1:17" x14ac:dyDescent="0.2">
      <c r="A11" s="168" t="s">
        <v>93</v>
      </c>
      <c r="B11" s="169">
        <v>27000</v>
      </c>
      <c r="C11" s="169">
        <f t="shared" ref="C11:C17" si="3">B11*0.55</f>
        <v>14850.000000000002</v>
      </c>
      <c r="D11" s="169">
        <f t="shared" si="2"/>
        <v>27000</v>
      </c>
      <c r="E11" s="169">
        <f t="shared" si="0"/>
        <v>14850.000000000002</v>
      </c>
      <c r="F11" s="93"/>
      <c r="I11" s="196"/>
      <c r="L11" s="176"/>
    </row>
    <row r="12" spans="1:17" x14ac:dyDescent="0.2">
      <c r="A12" s="168" t="s">
        <v>94</v>
      </c>
      <c r="B12" s="169">
        <v>9300</v>
      </c>
      <c r="C12" s="169">
        <f t="shared" si="3"/>
        <v>5115</v>
      </c>
      <c r="D12" s="169">
        <f t="shared" si="2"/>
        <v>9300</v>
      </c>
      <c r="E12" s="169">
        <f t="shared" si="0"/>
        <v>5115</v>
      </c>
      <c r="F12" s="110" t="s">
        <v>65</v>
      </c>
      <c r="G12" s="111"/>
      <c r="H12" s="111"/>
      <c r="I12" s="193"/>
      <c r="J12" s="111"/>
      <c r="K12" s="112"/>
      <c r="L12" s="206" t="s">
        <v>126</v>
      </c>
      <c r="P12" t="s">
        <v>123</v>
      </c>
    </row>
    <row r="13" spans="1:17" ht="30" x14ac:dyDescent="0.2">
      <c r="A13" s="168" t="s">
        <v>95</v>
      </c>
      <c r="B13" s="169">
        <v>7426</v>
      </c>
      <c r="C13" s="169">
        <f t="shared" si="3"/>
        <v>4084.3</v>
      </c>
      <c r="D13" s="169">
        <f t="shared" si="2"/>
        <v>7426</v>
      </c>
      <c r="E13" s="169">
        <f t="shared" si="0"/>
        <v>4084.3</v>
      </c>
      <c r="F13" s="104" t="s">
        <v>60</v>
      </c>
      <c r="G13" s="104" t="s">
        <v>61</v>
      </c>
      <c r="H13" s="103" t="s">
        <v>68</v>
      </c>
      <c r="I13" s="203">
        <v>43320</v>
      </c>
      <c r="J13" s="94" t="s">
        <v>52</v>
      </c>
      <c r="K13" s="95" t="s">
        <v>7</v>
      </c>
      <c r="L13" s="207" t="s">
        <v>124</v>
      </c>
      <c r="O13" t="s">
        <v>127</v>
      </c>
      <c r="P13" s="176">
        <f>I22</f>
        <v>71255</v>
      </c>
      <c r="Q13" s="2">
        <f>P13/$P$18</f>
        <v>3.5206535455557894E-2</v>
      </c>
    </row>
    <row r="14" spans="1:17" x14ac:dyDescent="0.2">
      <c r="A14" s="168" t="s">
        <v>96</v>
      </c>
      <c r="B14" s="169">
        <v>4671</v>
      </c>
      <c r="C14" s="169">
        <f t="shared" si="3"/>
        <v>2569.0500000000002</v>
      </c>
      <c r="D14" s="169">
        <f t="shared" si="2"/>
        <v>4671</v>
      </c>
      <c r="E14" s="169">
        <f t="shared" si="0"/>
        <v>2569.0500000000002</v>
      </c>
      <c r="F14" s="96">
        <v>146302</v>
      </c>
      <c r="G14" s="96">
        <v>180000</v>
      </c>
      <c r="H14" s="96">
        <v>254241</v>
      </c>
      <c r="I14" s="204">
        <v>237316</v>
      </c>
      <c r="J14" s="96">
        <v>220000</v>
      </c>
      <c r="K14" s="97" t="s">
        <v>42</v>
      </c>
      <c r="L14" s="208">
        <f>I14-H14</f>
        <v>-16925</v>
      </c>
      <c r="O14" t="s">
        <v>128</v>
      </c>
      <c r="P14" s="176">
        <f>I29+I16+I37+I5</f>
        <v>1433709</v>
      </c>
      <c r="Q14" s="2">
        <f>P14/$P$18</f>
        <v>0.70838434834681707</v>
      </c>
    </row>
    <row r="15" spans="1:17" x14ac:dyDescent="0.2">
      <c r="A15" s="168" t="s">
        <v>54</v>
      </c>
      <c r="B15" s="169">
        <f>I38</f>
        <v>2149</v>
      </c>
      <c r="C15" s="169">
        <f t="shared" si="3"/>
        <v>1181.95</v>
      </c>
      <c r="D15" s="169">
        <f t="shared" si="2"/>
        <v>2149</v>
      </c>
      <c r="E15" s="169">
        <f t="shared" si="0"/>
        <v>1181.95</v>
      </c>
      <c r="F15" s="96">
        <v>72554</v>
      </c>
      <c r="G15" s="96">
        <v>83973</v>
      </c>
      <c r="H15" s="96">
        <v>89026</v>
      </c>
      <c r="I15" s="204">
        <v>68306</v>
      </c>
      <c r="J15" s="96">
        <v>102000</v>
      </c>
      <c r="K15" s="97" t="s">
        <v>37</v>
      </c>
      <c r="L15" s="208">
        <f t="shared" ref="L15:L17" si="4">I15-H15</f>
        <v>-20720</v>
      </c>
      <c r="O15" t="s">
        <v>129</v>
      </c>
      <c r="P15" s="176">
        <f>I17</f>
        <v>46500</v>
      </c>
      <c r="Q15" s="2">
        <f>P15/$P$18</f>
        <v>2.297528452295898E-2</v>
      </c>
    </row>
    <row r="16" spans="1:17" x14ac:dyDescent="0.2">
      <c r="A16" s="168" t="s">
        <v>97</v>
      </c>
      <c r="B16" s="169">
        <v>2093</v>
      </c>
      <c r="C16" s="169">
        <f t="shared" si="3"/>
        <v>1151.1500000000001</v>
      </c>
      <c r="D16" s="169">
        <f t="shared" si="2"/>
        <v>2093</v>
      </c>
      <c r="E16" s="169">
        <f t="shared" si="0"/>
        <v>1151.1500000000001</v>
      </c>
      <c r="F16" s="96">
        <v>15133</v>
      </c>
      <c r="G16" s="96">
        <v>58265</v>
      </c>
      <c r="H16" s="96">
        <v>40634</v>
      </c>
      <c r="I16" s="204">
        <v>42656</v>
      </c>
      <c r="J16" s="96">
        <v>55000</v>
      </c>
      <c r="K16" s="97" t="s">
        <v>2</v>
      </c>
      <c r="L16" s="208">
        <f t="shared" si="4"/>
        <v>2022</v>
      </c>
      <c r="O16" t="s">
        <v>130</v>
      </c>
      <c r="P16" s="176">
        <f>I14+I25</f>
        <v>321786</v>
      </c>
      <c r="Q16" s="2">
        <f>P16/$P$18</f>
        <v>0.1589919334517178</v>
      </c>
    </row>
    <row r="17" spans="1:18" x14ac:dyDescent="0.2">
      <c r="A17" s="168" t="s">
        <v>98</v>
      </c>
      <c r="B17" s="169">
        <v>1757</v>
      </c>
      <c r="C17" s="169">
        <f t="shared" si="3"/>
        <v>966.35</v>
      </c>
      <c r="D17" s="169">
        <f t="shared" si="2"/>
        <v>1757</v>
      </c>
      <c r="E17" s="169">
        <f>(C17/B17)*D17</f>
        <v>966.35</v>
      </c>
      <c r="F17" s="96">
        <v>19688</v>
      </c>
      <c r="G17" s="96">
        <v>34400</v>
      </c>
      <c r="H17" s="96">
        <v>44859</v>
      </c>
      <c r="I17" s="204">
        <v>46500</v>
      </c>
      <c r="J17" s="96">
        <v>57000</v>
      </c>
      <c r="K17" s="97" t="s">
        <v>57</v>
      </c>
      <c r="L17" s="209">
        <f t="shared" si="4"/>
        <v>1641</v>
      </c>
      <c r="O17" t="s">
        <v>131</v>
      </c>
      <c r="P17" s="176">
        <f>I15+I24</f>
        <v>150664</v>
      </c>
      <c r="Q17" s="2">
        <f>P17/$P$18</f>
        <v>7.4441898222948208E-2</v>
      </c>
    </row>
    <row r="18" spans="1:18" x14ac:dyDescent="0.2">
      <c r="A18" s="166"/>
      <c r="B18" s="167">
        <f>SUM(B2:B17)</f>
        <v>3481279</v>
      </c>
      <c r="C18" s="167">
        <f>SUM(C2:C17)</f>
        <v>2131296.0427999999</v>
      </c>
      <c r="D18" s="167"/>
      <c r="F18" s="98">
        <f>SUM(F14:F17)</f>
        <v>253677</v>
      </c>
      <c r="G18" s="98">
        <f>SUM(G14:G17)</f>
        <v>356638</v>
      </c>
      <c r="H18" s="98">
        <f>SUM(H14:H17)</f>
        <v>428760</v>
      </c>
      <c r="I18" s="98">
        <f>SUM(I14:I17)</f>
        <v>394778</v>
      </c>
      <c r="J18" s="98">
        <f>SUM(J14:J17)</f>
        <v>434000</v>
      </c>
      <c r="K18" s="99" t="s">
        <v>58</v>
      </c>
      <c r="O18" t="s">
        <v>119</v>
      </c>
      <c r="P18" s="176">
        <f>SUM(P13:P17)</f>
        <v>2023914</v>
      </c>
    </row>
    <row r="19" spans="1:18" x14ac:dyDescent="0.2">
      <c r="A19" s="168" t="s">
        <v>55</v>
      </c>
      <c r="B19" s="169"/>
      <c r="C19" s="169"/>
      <c r="D19" s="169">
        <v>767570</v>
      </c>
      <c r="E19" s="169">
        <f>D19*0.55</f>
        <v>422163.50000000006</v>
      </c>
      <c r="F19" s="93"/>
    </row>
    <row r="20" spans="1:18" x14ac:dyDescent="0.2">
      <c r="A20" t="s">
        <v>99</v>
      </c>
      <c r="D20" s="167">
        <f>SUM(D2:D19)</f>
        <v>4876630</v>
      </c>
      <c r="E20" s="167">
        <f>SUM(E2:E19)</f>
        <v>2907407.1751999995</v>
      </c>
      <c r="F20" s="110" t="s">
        <v>35</v>
      </c>
      <c r="G20" s="111"/>
      <c r="H20" s="111"/>
      <c r="I20" s="193"/>
      <c r="J20" s="111"/>
      <c r="K20" s="112"/>
      <c r="N20" t="s">
        <v>121</v>
      </c>
      <c r="O20" t="s">
        <v>14</v>
      </c>
      <c r="P20" t="s">
        <v>47</v>
      </c>
      <c r="Q20" t="s">
        <v>14</v>
      </c>
      <c r="R20" s="206" t="s">
        <v>57</v>
      </c>
    </row>
    <row r="21" spans="1:18" ht="45" x14ac:dyDescent="0.2">
      <c r="E21">
        <f>E20/D20</f>
        <v>0.59619187332235568</v>
      </c>
      <c r="F21" s="104" t="s">
        <v>60</v>
      </c>
      <c r="G21" s="105" t="s">
        <v>61</v>
      </c>
      <c r="H21" s="103" t="s">
        <v>68</v>
      </c>
      <c r="I21" s="203">
        <v>43320</v>
      </c>
      <c r="J21" s="137" t="s">
        <v>52</v>
      </c>
      <c r="K21" s="100" t="s">
        <v>7</v>
      </c>
      <c r="L21" t="s">
        <v>47</v>
      </c>
      <c r="M21" t="s">
        <v>2</v>
      </c>
      <c r="N21" s="194">
        <f>I29</f>
        <v>288766</v>
      </c>
      <c r="O21" s="2">
        <f t="shared" ref="O21:O26" si="5">N21/$N$27</f>
        <v>0.47802767192316226</v>
      </c>
      <c r="P21" s="194">
        <f>L29</f>
        <v>176147.26</v>
      </c>
      <c r="Q21" s="198">
        <f t="shared" ref="Q21:Q26" si="6">P21/$P$27</f>
        <v>0.51576069444165884</v>
      </c>
      <c r="R21" s="207" t="s">
        <v>124</v>
      </c>
    </row>
    <row r="22" spans="1:18" x14ac:dyDescent="0.2">
      <c r="A22" s="184" t="s">
        <v>57</v>
      </c>
      <c r="B22" s="185">
        <v>500000</v>
      </c>
      <c r="F22" s="96">
        <v>54671</v>
      </c>
      <c r="G22" s="106">
        <v>56500</v>
      </c>
      <c r="H22" s="138">
        <v>66000</v>
      </c>
      <c r="I22" s="205">
        <v>71255</v>
      </c>
      <c r="J22" s="141">
        <v>81000</v>
      </c>
      <c r="K22" s="101" t="s">
        <v>56</v>
      </c>
      <c r="L22" s="176">
        <f>I22*0.51</f>
        <v>36340.050000000003</v>
      </c>
      <c r="M22" t="s">
        <v>56</v>
      </c>
      <c r="N22" s="194">
        <f>I22</f>
        <v>71255</v>
      </c>
      <c r="O22" s="2">
        <f t="shared" si="5"/>
        <v>0.11795662149589954</v>
      </c>
      <c r="P22" s="194">
        <f>L22</f>
        <v>36340.050000000003</v>
      </c>
      <c r="Q22" s="198">
        <f t="shared" si="6"/>
        <v>0.10640397939794581</v>
      </c>
      <c r="R22" s="208">
        <f>I22-H22</f>
        <v>5255</v>
      </c>
    </row>
    <row r="23" spans="1:18" x14ac:dyDescent="0.2">
      <c r="A23" t="s">
        <v>122</v>
      </c>
      <c r="F23" s="96">
        <v>24738</v>
      </c>
      <c r="G23" s="107">
        <v>26760</v>
      </c>
      <c r="H23" s="139">
        <v>34451</v>
      </c>
      <c r="I23" s="204">
        <v>38543</v>
      </c>
      <c r="J23" s="107">
        <v>35000</v>
      </c>
      <c r="K23" s="101" t="s">
        <v>1</v>
      </c>
      <c r="L23" s="176"/>
      <c r="M23" t="s">
        <v>37</v>
      </c>
      <c r="N23" s="194">
        <f>I24</f>
        <v>82358</v>
      </c>
      <c r="O23" s="2">
        <f t="shared" si="5"/>
        <v>0.13633669824095565</v>
      </c>
      <c r="P23" s="194">
        <f>L24</f>
        <v>39531.839999999997</v>
      </c>
      <c r="Q23" s="198">
        <f t="shared" si="6"/>
        <v>0.11574956800892924</v>
      </c>
      <c r="R23" s="208">
        <f t="shared" ref="R23:R30" si="7">I23-H23</f>
        <v>4092</v>
      </c>
    </row>
    <row r="24" spans="1:18" x14ac:dyDescent="0.2">
      <c r="A24" t="s">
        <v>121</v>
      </c>
      <c r="B24" t="s">
        <v>47</v>
      </c>
      <c r="F24" s="96">
        <v>74209</v>
      </c>
      <c r="G24" s="107">
        <v>74000</v>
      </c>
      <c r="H24" s="139">
        <v>75000</v>
      </c>
      <c r="I24" s="204">
        <v>82358</v>
      </c>
      <c r="J24" s="107">
        <v>85000</v>
      </c>
      <c r="K24" s="101" t="s">
        <v>37</v>
      </c>
      <c r="L24" s="176">
        <f>I24*0.48</f>
        <v>39531.839999999997</v>
      </c>
      <c r="M24" t="s">
        <v>42</v>
      </c>
      <c r="N24" s="195">
        <f>I25</f>
        <v>84470</v>
      </c>
      <c r="O24" s="2">
        <f t="shared" si="5"/>
        <v>0.13983293548184175</v>
      </c>
      <c r="P24" s="195">
        <f>L25</f>
        <v>48992.6</v>
      </c>
      <c r="Q24" s="198">
        <f t="shared" si="6"/>
        <v>0.14345075477474026</v>
      </c>
      <c r="R24" s="208">
        <f t="shared" si="7"/>
        <v>7358</v>
      </c>
    </row>
    <row r="25" spans="1:18" x14ac:dyDescent="0.2">
      <c r="A25" s="109">
        <f>D2+D5+D7+D8</f>
        <v>2483381</v>
      </c>
      <c r="B25" s="176">
        <f>0.59*A25</f>
        <v>1465194.79</v>
      </c>
      <c r="F25" s="96">
        <v>64000</v>
      </c>
      <c r="G25" s="107">
        <v>67000</v>
      </c>
      <c r="H25" s="139">
        <v>82000</v>
      </c>
      <c r="I25" s="204">
        <v>84470</v>
      </c>
      <c r="J25" s="107">
        <v>107000</v>
      </c>
      <c r="K25" s="101" t="s">
        <v>42</v>
      </c>
      <c r="L25" s="176">
        <f>I25*0.58</f>
        <v>48992.6</v>
      </c>
      <c r="M25" t="s">
        <v>36</v>
      </c>
      <c r="N25" s="195">
        <f>I26</f>
        <v>35822</v>
      </c>
      <c r="O25" s="2">
        <f t="shared" si="5"/>
        <v>5.9300289035521904E-2</v>
      </c>
      <c r="P25" s="195">
        <f>L26</f>
        <v>18985.66</v>
      </c>
      <c r="Q25" s="198">
        <f t="shared" si="6"/>
        <v>5.5590176004061735E-2</v>
      </c>
      <c r="R25" s="208">
        <f t="shared" si="7"/>
        <v>2470</v>
      </c>
    </row>
    <row r="26" spans="1:18" x14ac:dyDescent="0.2">
      <c r="F26" s="96"/>
      <c r="G26" s="107"/>
      <c r="H26" s="139">
        <v>39000</v>
      </c>
      <c r="I26" s="204">
        <v>35822</v>
      </c>
      <c r="J26" s="107">
        <v>50000</v>
      </c>
      <c r="K26" s="101" t="s">
        <v>36</v>
      </c>
      <c r="L26" s="176">
        <f>I26*0.53</f>
        <v>18985.66</v>
      </c>
      <c r="M26" t="s">
        <v>59</v>
      </c>
      <c r="N26" s="195">
        <f>I27</f>
        <v>41407</v>
      </c>
      <c r="O26" s="2">
        <f t="shared" si="5"/>
        <v>6.854578382261893E-2</v>
      </c>
      <c r="P26" s="195">
        <f>L27</f>
        <v>21531.64</v>
      </c>
      <c r="Q26" s="198">
        <f t="shared" si="6"/>
        <v>6.3044827372664203E-2</v>
      </c>
      <c r="R26" s="208">
        <f t="shared" si="7"/>
        <v>-3178</v>
      </c>
    </row>
    <row r="27" spans="1:18" x14ac:dyDescent="0.2">
      <c r="F27" s="96"/>
      <c r="G27" s="107"/>
      <c r="H27" s="139">
        <v>38000</v>
      </c>
      <c r="I27" s="204">
        <v>41407</v>
      </c>
      <c r="J27" s="107">
        <v>76000</v>
      </c>
      <c r="K27" s="101" t="s">
        <v>59</v>
      </c>
      <c r="L27" s="176">
        <f>I27*0.52</f>
        <v>21531.64</v>
      </c>
      <c r="M27" s="166" t="s">
        <v>119</v>
      </c>
      <c r="N27" s="196">
        <f>SUM(N21:N26)</f>
        <v>604078</v>
      </c>
      <c r="O27" s="197">
        <f>SUM(O21:O26)</f>
        <v>0.99999999999999989</v>
      </c>
      <c r="P27" s="196">
        <f>SUM(P21:P26)</f>
        <v>341529.05</v>
      </c>
      <c r="Q27" s="197">
        <f>SUM(Q21:Q26)</f>
        <v>1</v>
      </c>
      <c r="R27" s="208">
        <f t="shared" si="7"/>
        <v>3407</v>
      </c>
    </row>
    <row r="28" spans="1:18" x14ac:dyDescent="0.2">
      <c r="F28" s="96">
        <v>13150</v>
      </c>
      <c r="G28" s="107">
        <v>13100</v>
      </c>
      <c r="H28" s="139">
        <v>14477</v>
      </c>
      <c r="I28" s="204">
        <v>15296</v>
      </c>
      <c r="J28" s="107">
        <v>15000</v>
      </c>
      <c r="K28" s="101" t="s">
        <v>53</v>
      </c>
      <c r="L28" s="176"/>
      <c r="P28" s="199">
        <f>P27/N27</f>
        <v>0.56537243534775306</v>
      </c>
      <c r="R28" s="208">
        <f t="shared" si="7"/>
        <v>819</v>
      </c>
    </row>
    <row r="29" spans="1:18" ht="16" thickBot="1" x14ac:dyDescent="0.25">
      <c r="F29" s="96">
        <v>214279</v>
      </c>
      <c r="G29" s="107">
        <v>210500</v>
      </c>
      <c r="H29" s="139">
        <v>240000</v>
      </c>
      <c r="I29" s="204">
        <v>288766</v>
      </c>
      <c r="J29" s="142">
        <v>300000</v>
      </c>
      <c r="K29" s="101" t="s">
        <v>2</v>
      </c>
      <c r="L29" s="176">
        <f>I29*0.61</f>
        <v>176147.26</v>
      </c>
      <c r="M29" t="s">
        <v>112</v>
      </c>
      <c r="N29" t="s">
        <v>113</v>
      </c>
      <c r="O29" t="s">
        <v>114</v>
      </c>
      <c r="P29" t="s">
        <v>115</v>
      </c>
      <c r="R29" s="208">
        <f t="shared" si="7"/>
        <v>48766</v>
      </c>
    </row>
    <row r="30" spans="1:18" x14ac:dyDescent="0.2">
      <c r="F30" s="96"/>
      <c r="G30" s="107"/>
      <c r="H30" s="139">
        <v>75000</v>
      </c>
      <c r="I30" s="204">
        <f>M34</f>
        <v>103296</v>
      </c>
      <c r="J30" s="142">
        <v>85000</v>
      </c>
      <c r="K30" s="101" t="s">
        <v>89</v>
      </c>
      <c r="M30" s="186">
        <v>58774</v>
      </c>
      <c r="N30" s="187">
        <v>20763</v>
      </c>
      <c r="O30" s="189">
        <v>10292</v>
      </c>
      <c r="P30" s="186">
        <v>9385</v>
      </c>
      <c r="R30" s="209">
        <f t="shared" si="7"/>
        <v>28296</v>
      </c>
    </row>
    <row r="31" spans="1:18" ht="16" thickBot="1" x14ac:dyDescent="0.25">
      <c r="F31" s="98">
        <f>SUM(F22:F29)</f>
        <v>445047</v>
      </c>
      <c r="G31" s="108">
        <f>SUM(G22:G29)</f>
        <v>447860</v>
      </c>
      <c r="H31" s="140">
        <f>SUM(H22:H30)</f>
        <v>663928</v>
      </c>
      <c r="I31" s="143">
        <f>SUM(I22:I30)</f>
        <v>761213</v>
      </c>
      <c r="J31" s="108">
        <f>SUM(J22:J30)</f>
        <v>834000</v>
      </c>
      <c r="K31" s="102" t="s">
        <v>58</v>
      </c>
      <c r="M31" t="s">
        <v>116</v>
      </c>
      <c r="N31" s="188" t="s">
        <v>117</v>
      </c>
      <c r="O31" s="188" t="s">
        <v>118</v>
      </c>
    </row>
    <row r="32" spans="1:18" x14ac:dyDescent="0.2">
      <c r="M32" s="186">
        <v>3238</v>
      </c>
      <c r="N32" s="190">
        <v>538</v>
      </c>
      <c r="O32" s="190">
        <v>306</v>
      </c>
    </row>
    <row r="33" spans="6:13" x14ac:dyDescent="0.2">
      <c r="F33" s="110" t="s">
        <v>63</v>
      </c>
      <c r="G33" s="111"/>
      <c r="H33" s="111"/>
      <c r="I33" s="193"/>
      <c r="J33" s="111"/>
      <c r="K33" s="112"/>
      <c r="M33" t="s">
        <v>119</v>
      </c>
    </row>
    <row r="34" spans="6:13" x14ac:dyDescent="0.2">
      <c r="F34" s="104" t="s">
        <v>60</v>
      </c>
      <c r="G34" s="104" t="s">
        <v>61</v>
      </c>
      <c r="H34" s="103" t="s">
        <v>68</v>
      </c>
      <c r="I34" s="203">
        <v>43320</v>
      </c>
      <c r="J34" s="94" t="s">
        <v>52</v>
      </c>
      <c r="K34" s="95" t="s">
        <v>7</v>
      </c>
      <c r="M34" s="191">
        <f>SUM(M30:P30)+SUM(M32:O32)</f>
        <v>103296</v>
      </c>
    </row>
    <row r="35" spans="6:13" x14ac:dyDescent="0.2">
      <c r="F35" s="96">
        <v>419142</v>
      </c>
      <c r="G35" s="96">
        <v>321457</v>
      </c>
      <c r="H35" s="96">
        <v>313255</v>
      </c>
      <c r="I35" s="204">
        <v>526932</v>
      </c>
      <c r="J35" s="96"/>
      <c r="K35" s="97" t="s">
        <v>1</v>
      </c>
    </row>
    <row r="36" spans="6:13" x14ac:dyDescent="0.2">
      <c r="F36" s="96">
        <v>251797</v>
      </c>
      <c r="G36" s="96">
        <v>241624</v>
      </c>
      <c r="H36" s="96">
        <v>252385</v>
      </c>
      <c r="I36" s="204">
        <v>256494</v>
      </c>
      <c r="J36" s="96">
        <v>292000</v>
      </c>
      <c r="K36" s="97" t="s">
        <v>0</v>
      </c>
    </row>
    <row r="37" spans="6:13" x14ac:dyDescent="0.2">
      <c r="F37" s="96"/>
      <c r="G37" s="96"/>
      <c r="H37" s="96"/>
      <c r="I37" s="204">
        <v>37193</v>
      </c>
      <c r="J37" s="96"/>
      <c r="K37" s="97" t="s">
        <v>2</v>
      </c>
      <c r="M37" s="176"/>
    </row>
    <row r="38" spans="6:13" x14ac:dyDescent="0.2">
      <c r="F38" s="96"/>
      <c r="G38" s="96"/>
      <c r="H38" s="96">
        <v>2287</v>
      </c>
      <c r="I38" s="204">
        <v>2149</v>
      </c>
      <c r="J38" s="96"/>
      <c r="K38" s="97" t="s">
        <v>54</v>
      </c>
      <c r="M38" s="176"/>
    </row>
    <row r="39" spans="6:13" x14ac:dyDescent="0.2">
      <c r="F39" s="98">
        <f>SUM(F35:F38)</f>
        <v>670939</v>
      </c>
      <c r="G39" s="98">
        <f>SUM(G35:G38)</f>
        <v>563081</v>
      </c>
      <c r="H39" s="98">
        <f>SUM(H35:H38)</f>
        <v>567927</v>
      </c>
      <c r="I39" s="98">
        <f>SUM(I35:I38)</f>
        <v>822768</v>
      </c>
      <c r="J39" s="98">
        <f>SUM(J35:J38)</f>
        <v>292000</v>
      </c>
      <c r="K39" s="99" t="s">
        <v>58</v>
      </c>
    </row>
  </sheetData>
  <mergeCells count="1">
    <mergeCell ref="F3:K3"/>
  </mergeCells>
  <pageMargins left="0.7" right="0.7" top="0.75" bottom="0.75" header="0.3" footer="0.3"/>
  <pageSetup paperSize="2059" orientation="portrait" r:id="rId1"/>
  <ignoredErrors>
    <ignoredError sqref="H10" formula="1"/>
    <ignoredError sqref="I10 I18 I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R34"/>
  <sheetViews>
    <sheetView zoomScale="90" zoomScaleNormal="90" workbookViewId="0">
      <selection activeCell="N5" sqref="N5"/>
    </sheetView>
  </sheetViews>
  <sheetFormatPr baseColWidth="10" defaultColWidth="8.6640625" defaultRowHeight="13" x14ac:dyDescent="0.15"/>
  <cols>
    <col min="1" max="1" width="18.6640625" style="20" bestFit="1" customWidth="1"/>
    <col min="2" max="2" width="16.1640625" style="20" customWidth="1"/>
    <col min="3" max="3" width="15" style="20" customWidth="1"/>
    <col min="4" max="4" width="0.6640625" style="20" customWidth="1"/>
    <col min="5" max="5" width="16.5" style="20" customWidth="1"/>
    <col min="6" max="6" width="15.5" style="20" customWidth="1"/>
    <col min="7" max="7" width="20.5" style="20" customWidth="1"/>
    <col min="8" max="8" width="20.1640625" style="20" customWidth="1"/>
    <col min="9" max="9" width="12.83203125" style="20" bestFit="1" customWidth="1"/>
    <col min="10" max="10" width="9.5" style="20" customWidth="1"/>
    <col min="11" max="11" width="3.1640625" style="20" customWidth="1"/>
    <col min="12" max="12" width="9" style="20" customWidth="1"/>
    <col min="13" max="14" width="12.83203125" style="20" customWidth="1"/>
    <col min="15" max="15" width="7.6640625" style="20" customWidth="1"/>
    <col min="16" max="16" width="23.1640625" style="20" customWidth="1"/>
    <col min="17" max="17" width="13.5" style="20" customWidth="1"/>
    <col min="18" max="18" width="12.1640625" style="20" bestFit="1" customWidth="1"/>
    <col min="19" max="16384" width="8.6640625" style="20"/>
  </cols>
  <sheetData>
    <row r="1" spans="1:18" ht="26.5" customHeight="1" thickBot="1" x14ac:dyDescent="0.2">
      <c r="A1" s="113" t="s">
        <v>64</v>
      </c>
      <c r="B1" s="253" t="s">
        <v>33</v>
      </c>
      <c r="C1" s="254"/>
      <c r="D1" s="254"/>
      <c r="E1" s="254"/>
      <c r="F1" s="254"/>
      <c r="G1" s="254"/>
      <c r="H1" s="254"/>
      <c r="I1" s="254"/>
      <c r="J1" s="255"/>
      <c r="L1" s="3" t="s">
        <v>29</v>
      </c>
      <c r="M1" s="3"/>
      <c r="N1" s="3"/>
    </row>
    <row r="2" spans="1:18" ht="36" customHeight="1" thickBot="1" x14ac:dyDescent="0.2">
      <c r="B2" s="260" t="s">
        <v>7</v>
      </c>
      <c r="C2" s="256" t="s">
        <v>87</v>
      </c>
      <c r="D2" s="116"/>
      <c r="E2" s="256" t="s">
        <v>17</v>
      </c>
      <c r="F2" s="256" t="s">
        <v>18</v>
      </c>
      <c r="G2" s="256" t="s">
        <v>76</v>
      </c>
      <c r="H2" s="256" t="s">
        <v>21</v>
      </c>
      <c r="I2" s="258" t="s">
        <v>12</v>
      </c>
      <c r="J2" s="259"/>
      <c r="L2" s="41"/>
      <c r="M2" s="42" t="s">
        <v>30</v>
      </c>
      <c r="N2" s="42" t="s">
        <v>31</v>
      </c>
      <c r="P2" s="50" t="s">
        <v>46</v>
      </c>
      <c r="Q2" s="131">
        <f>' Global Refugees'!I10</f>
        <v>2467322</v>
      </c>
    </row>
    <row r="3" spans="1:18" ht="26.25" customHeight="1" thickBot="1" x14ac:dyDescent="0.2">
      <c r="B3" s="261"/>
      <c r="C3" s="257"/>
      <c r="D3" s="117"/>
      <c r="E3" s="257"/>
      <c r="F3" s="257"/>
      <c r="G3" s="257"/>
      <c r="H3" s="257"/>
      <c r="I3" s="21" t="s">
        <v>13</v>
      </c>
      <c r="J3" s="120" t="s">
        <v>14</v>
      </c>
      <c r="L3" s="132" t="s">
        <v>0</v>
      </c>
      <c r="M3" s="131">
        <f>' Global Refugees'!I7</f>
        <v>426550</v>
      </c>
      <c r="N3" s="131">
        <f>M3*O3</f>
        <v>272992</v>
      </c>
      <c r="O3" s="136">
        <v>0.64</v>
      </c>
      <c r="P3" s="50" t="s">
        <v>47</v>
      </c>
      <c r="Q3" s="131">
        <f>Q2*R3</f>
        <v>1455719.98</v>
      </c>
      <c r="R3" s="136">
        <v>0.59</v>
      </c>
    </row>
    <row r="4" spans="1:18" ht="14" thickBot="1" x14ac:dyDescent="0.2">
      <c r="A4" s="212">
        <v>43322</v>
      </c>
      <c r="B4" s="121" t="s">
        <v>0</v>
      </c>
      <c r="C4" s="22">
        <v>111810939</v>
      </c>
      <c r="D4" s="22"/>
      <c r="E4" s="22">
        <v>614705</v>
      </c>
      <c r="F4" s="23">
        <v>417756</v>
      </c>
      <c r="G4" s="22">
        <v>10891512</v>
      </c>
      <c r="H4" s="23">
        <v>2516816</v>
      </c>
      <c r="I4" s="23">
        <f>G4-H4</f>
        <v>8374696</v>
      </c>
      <c r="J4" s="122">
        <f>I4/G4</f>
        <v>0.76891950355469474</v>
      </c>
      <c r="L4" s="133" t="s">
        <v>1</v>
      </c>
      <c r="M4" s="131">
        <f>' Global Refugees'!I6</f>
        <v>114466</v>
      </c>
      <c r="N4" s="131">
        <f t="shared" ref="N4:N5" si="0">M4*O4</f>
        <v>75547.56</v>
      </c>
      <c r="O4" s="136">
        <v>0.66</v>
      </c>
    </row>
    <row r="5" spans="1:18" ht="14" thickBot="1" x14ac:dyDescent="0.2">
      <c r="A5" s="212">
        <v>43320</v>
      </c>
      <c r="B5" s="121" t="s">
        <v>1</v>
      </c>
      <c r="C5" s="22">
        <v>34235000</v>
      </c>
      <c r="D5" s="22"/>
      <c r="E5" s="22">
        <v>140000</v>
      </c>
      <c r="F5" s="23">
        <v>92400</v>
      </c>
      <c r="G5" s="22">
        <v>2454499</v>
      </c>
      <c r="H5" s="23">
        <v>306655</v>
      </c>
      <c r="I5" s="23">
        <f>G5-H5</f>
        <v>2147844</v>
      </c>
      <c r="J5" s="122">
        <f>1-(H5/G5)</f>
        <v>0.87506411695421349</v>
      </c>
      <c r="L5" s="133" t="s">
        <v>2</v>
      </c>
      <c r="M5" s="131">
        <f>' Global Refugees'!I5</f>
        <v>1065094</v>
      </c>
      <c r="N5" s="131">
        <f t="shared" si="0"/>
        <v>649707.34</v>
      </c>
      <c r="O5" s="136">
        <v>0.61</v>
      </c>
    </row>
    <row r="6" spans="1:18" ht="14" thickBot="1" x14ac:dyDescent="0.2">
      <c r="A6" s="212">
        <v>43320</v>
      </c>
      <c r="B6" s="121" t="s">
        <v>2</v>
      </c>
      <c r="C6" s="23">
        <v>66119117</v>
      </c>
      <c r="D6" s="22"/>
      <c r="E6" s="22">
        <v>1380000</v>
      </c>
      <c r="F6" s="23">
        <v>841800</v>
      </c>
      <c r="G6" s="22">
        <v>47642417</v>
      </c>
      <c r="H6" s="23">
        <v>3070851</v>
      </c>
      <c r="I6" s="23">
        <f>G6-H6</f>
        <v>44571566</v>
      </c>
      <c r="J6" s="122">
        <f>1-(H6/G6)</f>
        <v>0.93554376135031103</v>
      </c>
      <c r="M6" s="92">
        <f>SUM(M3:M5)</f>
        <v>1606110</v>
      </c>
      <c r="N6" s="92">
        <f>SUM(N3:N5)</f>
        <v>998246.89999999991</v>
      </c>
      <c r="O6" s="119"/>
    </row>
    <row r="7" spans="1:18" ht="14" thickBot="1" x14ac:dyDescent="0.2">
      <c r="B7" s="123" t="s">
        <v>15</v>
      </c>
      <c r="C7" s="124">
        <f>SUM(C4:C6)</f>
        <v>212165056</v>
      </c>
      <c r="D7" s="124"/>
      <c r="E7" s="124">
        <f>SUM(E4:E6)</f>
        <v>2134705</v>
      </c>
      <c r="F7" s="124">
        <f>SUM(F4:F6)</f>
        <v>1351956</v>
      </c>
      <c r="G7" s="124">
        <f>SUM(G4:G6)</f>
        <v>60988428</v>
      </c>
      <c r="H7" s="124">
        <f>SUM(H4:H6)</f>
        <v>5894322</v>
      </c>
      <c r="I7" s="124">
        <f>SUM(I4:I6)</f>
        <v>55094106</v>
      </c>
      <c r="J7" s="125">
        <f>1-(SUM(H7/G7))</f>
        <v>0.90335343616333252</v>
      </c>
      <c r="M7" s="127" t="s">
        <v>32</v>
      </c>
      <c r="N7" s="127" t="s">
        <v>32</v>
      </c>
      <c r="O7" s="119"/>
      <c r="P7" s="75"/>
    </row>
    <row r="8" spans="1:18" x14ac:dyDescent="0.15">
      <c r="C8" s="20" t="s">
        <v>28</v>
      </c>
      <c r="E8" s="20" t="s">
        <v>27</v>
      </c>
      <c r="F8" s="20" t="s">
        <v>27</v>
      </c>
      <c r="G8" s="20" t="s">
        <v>51</v>
      </c>
      <c r="H8" s="20" t="s">
        <v>50</v>
      </c>
      <c r="J8" s="76"/>
      <c r="M8" s="128">
        <v>43281</v>
      </c>
      <c r="N8" s="128">
        <v>43281</v>
      </c>
      <c r="O8" s="119"/>
    </row>
    <row r="9" spans="1:18" ht="14" thickBot="1" x14ac:dyDescent="0.2">
      <c r="O9" s="119"/>
    </row>
    <row r="10" spans="1:18" ht="26.5" customHeight="1" thickBot="1" x14ac:dyDescent="0.2">
      <c r="B10" s="253" t="s">
        <v>34</v>
      </c>
      <c r="C10" s="254"/>
      <c r="D10" s="254"/>
      <c r="E10" s="254"/>
      <c r="F10" s="254"/>
      <c r="G10" s="254"/>
      <c r="H10" s="254"/>
      <c r="I10" s="254"/>
      <c r="J10" s="255"/>
      <c r="L10" s="3" t="s">
        <v>29</v>
      </c>
      <c r="M10" s="3"/>
      <c r="N10" s="3"/>
      <c r="O10" s="119"/>
    </row>
    <row r="11" spans="1:18" ht="27" customHeight="1" thickBot="1" x14ac:dyDescent="0.2">
      <c r="B11" s="260" t="s">
        <v>7</v>
      </c>
      <c r="C11" s="256" t="s">
        <v>75</v>
      </c>
      <c r="D11" s="116"/>
      <c r="E11" s="256" t="s">
        <v>38</v>
      </c>
      <c r="F11" s="256" t="s">
        <v>39</v>
      </c>
      <c r="G11" s="256" t="s">
        <v>77</v>
      </c>
      <c r="H11" s="256" t="s">
        <v>40</v>
      </c>
      <c r="I11" s="258" t="s">
        <v>12</v>
      </c>
      <c r="J11" s="259"/>
      <c r="L11" s="41"/>
      <c r="M11" s="42" t="s">
        <v>30</v>
      </c>
      <c r="N11" s="42" t="s">
        <v>31</v>
      </c>
      <c r="O11" s="119"/>
      <c r="P11" s="42" t="s">
        <v>83</v>
      </c>
      <c r="Q11" s="131">
        <v>175936</v>
      </c>
      <c r="R11" s="136">
        <v>0.6</v>
      </c>
    </row>
    <row r="12" spans="1:18" ht="27" customHeight="1" thickBot="1" x14ac:dyDescent="0.2">
      <c r="B12" s="261"/>
      <c r="C12" s="257"/>
      <c r="D12" s="117"/>
      <c r="E12" s="257"/>
      <c r="F12" s="257"/>
      <c r="G12" s="257"/>
      <c r="H12" s="257"/>
      <c r="I12" s="21" t="s">
        <v>13</v>
      </c>
      <c r="J12" s="120" t="s">
        <v>14</v>
      </c>
      <c r="L12" s="133" t="s">
        <v>37</v>
      </c>
      <c r="M12" s="131">
        <v>68306</v>
      </c>
      <c r="N12" s="131">
        <f>M12*O12</f>
        <v>34153</v>
      </c>
      <c r="O12" s="136">
        <v>0.5</v>
      </c>
      <c r="P12" s="50" t="s">
        <v>47</v>
      </c>
      <c r="Q12" s="131">
        <f>Q11*60/100</f>
        <v>105561.60000000001</v>
      </c>
      <c r="R12" s="150"/>
    </row>
    <row r="13" spans="1:18" ht="20.25" customHeight="1" thickBot="1" x14ac:dyDescent="0.2">
      <c r="A13" s="212">
        <v>43320</v>
      </c>
      <c r="B13" s="121" t="s">
        <v>2</v>
      </c>
      <c r="C13" s="23">
        <v>66119117</v>
      </c>
      <c r="D13" s="22"/>
      <c r="E13" s="22">
        <v>55000</v>
      </c>
      <c r="F13" s="23">
        <v>30250</v>
      </c>
      <c r="G13" s="23">
        <v>4193176</v>
      </c>
      <c r="H13" s="23">
        <v>0</v>
      </c>
      <c r="I13" s="23">
        <f>G13-H13</f>
        <v>4193176</v>
      </c>
      <c r="J13" s="122">
        <f>I13/G13</f>
        <v>1</v>
      </c>
      <c r="L13" s="133" t="s">
        <v>2</v>
      </c>
      <c r="M13" s="131">
        <f>' Global Refugees'!I16</f>
        <v>42656</v>
      </c>
      <c r="N13" s="131">
        <f>M13*O13</f>
        <v>23332.832000000002</v>
      </c>
      <c r="O13" s="136">
        <v>0.54700000000000004</v>
      </c>
    </row>
    <row r="14" spans="1:18" ht="14" thickBot="1" x14ac:dyDescent="0.2">
      <c r="A14" s="212">
        <v>43320</v>
      </c>
      <c r="B14" s="121" t="s">
        <v>37</v>
      </c>
      <c r="C14" s="22"/>
      <c r="D14" s="22"/>
      <c r="E14" s="22"/>
      <c r="F14" s="23"/>
      <c r="G14" s="22">
        <v>1837000</v>
      </c>
      <c r="H14" s="23">
        <v>0</v>
      </c>
      <c r="I14" s="23">
        <f>G14-H14</f>
        <v>1837000</v>
      </c>
      <c r="J14" s="122">
        <f>I14/G14</f>
        <v>1</v>
      </c>
      <c r="L14" s="133" t="s">
        <v>42</v>
      </c>
      <c r="M14" s="131">
        <f>' Global Refugees'!I14</f>
        <v>237316</v>
      </c>
      <c r="N14" s="131">
        <f>M14*O14</f>
        <v>135270.12</v>
      </c>
      <c r="O14" s="136">
        <v>0.56999999999999995</v>
      </c>
      <c r="Q14" s="115"/>
      <c r="R14" s="115"/>
    </row>
    <row r="15" spans="1:18" ht="14" thickBot="1" x14ac:dyDescent="0.2">
      <c r="A15" s="212">
        <v>43320</v>
      </c>
      <c r="B15" s="121" t="s">
        <v>42</v>
      </c>
      <c r="C15" s="22"/>
      <c r="D15" s="22"/>
      <c r="E15" s="22"/>
      <c r="F15" s="23"/>
      <c r="G15" s="22">
        <v>4660000</v>
      </c>
      <c r="H15" s="23">
        <v>1985994</v>
      </c>
      <c r="I15" s="23">
        <f>G15-H15</f>
        <v>2674006</v>
      </c>
      <c r="J15" s="122">
        <f>I15/G15</f>
        <v>0.5738210300429184</v>
      </c>
      <c r="L15" s="133" t="s">
        <v>57</v>
      </c>
      <c r="M15" s="131">
        <f>' Global Refugees'!I17</f>
        <v>46500</v>
      </c>
      <c r="N15" s="131">
        <f>M15*O15</f>
        <v>29295</v>
      </c>
      <c r="O15" s="136">
        <v>0.63</v>
      </c>
    </row>
    <row r="16" spans="1:18" ht="34" thickBot="1" x14ac:dyDescent="0.2">
      <c r="B16" s="123" t="s">
        <v>15</v>
      </c>
      <c r="C16" s="124">
        <f>SUM(C13:C15)</f>
        <v>66119117</v>
      </c>
      <c r="D16" s="124"/>
      <c r="E16" s="124">
        <f>SUM(E13:E15)</f>
        <v>55000</v>
      </c>
      <c r="F16" s="124">
        <f>SUM(F13:F15)</f>
        <v>30250</v>
      </c>
      <c r="G16" s="124">
        <f>SUM(G13:G15)</f>
        <v>10690176</v>
      </c>
      <c r="H16" s="124">
        <f>SUM(H13:H15)</f>
        <v>1985994</v>
      </c>
      <c r="I16" s="124">
        <f>SUM(I13:I15)</f>
        <v>8704182</v>
      </c>
      <c r="J16" s="125">
        <f>1-(SUM(H16/G16))</f>
        <v>0.81422251607457163</v>
      </c>
      <c r="L16" s="134"/>
      <c r="M16" s="135" t="s">
        <v>43</v>
      </c>
      <c r="N16" s="135" t="s">
        <v>44</v>
      </c>
      <c r="O16" s="119"/>
      <c r="P16" s="150"/>
    </row>
    <row r="17" spans="1:17" x14ac:dyDescent="0.15">
      <c r="C17" s="20" t="s">
        <v>79</v>
      </c>
      <c r="E17" s="20" t="s">
        <v>51</v>
      </c>
      <c r="F17" s="20" t="s">
        <v>51</v>
      </c>
      <c r="G17" s="20" t="s">
        <v>51</v>
      </c>
      <c r="M17" s="128">
        <v>43281</v>
      </c>
      <c r="N17" s="128">
        <v>43281</v>
      </c>
      <c r="O17" s="119"/>
    </row>
    <row r="18" spans="1:17" ht="14" thickBot="1" x14ac:dyDescent="0.2">
      <c r="E18" s="20" t="s">
        <v>41</v>
      </c>
      <c r="O18" s="119"/>
    </row>
    <row r="19" spans="1:17" ht="27.75" customHeight="1" thickBot="1" x14ac:dyDescent="0.2">
      <c r="B19" s="253" t="s">
        <v>35</v>
      </c>
      <c r="C19" s="254"/>
      <c r="D19" s="254"/>
      <c r="E19" s="254"/>
      <c r="F19" s="254"/>
      <c r="G19" s="254"/>
      <c r="H19" s="254"/>
      <c r="I19" s="254"/>
      <c r="J19" s="255"/>
      <c r="L19" s="3" t="s">
        <v>29</v>
      </c>
      <c r="M19" s="3"/>
      <c r="N19" s="3"/>
      <c r="O19" s="119"/>
    </row>
    <row r="20" spans="1:17" ht="31.5" customHeight="1" thickBot="1" x14ac:dyDescent="0.2">
      <c r="B20" s="260" t="s">
        <v>7</v>
      </c>
      <c r="C20" s="256" t="s">
        <v>75</v>
      </c>
      <c r="D20" s="116"/>
      <c r="E20" s="256" t="s">
        <v>90</v>
      </c>
      <c r="F20" s="256" t="s">
        <v>91</v>
      </c>
      <c r="G20" s="256" t="s">
        <v>78</v>
      </c>
      <c r="H20" s="256" t="s">
        <v>45</v>
      </c>
      <c r="I20" s="258" t="s">
        <v>12</v>
      </c>
      <c r="J20" s="259"/>
      <c r="L20" s="41"/>
      <c r="M20" s="42" t="s">
        <v>30</v>
      </c>
      <c r="N20" s="42" t="s">
        <v>31</v>
      </c>
      <c r="O20" s="119"/>
    </row>
    <row r="21" spans="1:17" ht="27.75" customHeight="1" thickBot="1" x14ac:dyDescent="0.2">
      <c r="A21" s="212"/>
      <c r="B21" s="261"/>
      <c r="C21" s="257"/>
      <c r="D21" s="117"/>
      <c r="E21" s="257"/>
      <c r="F21" s="257"/>
      <c r="G21" s="257"/>
      <c r="H21" s="257"/>
      <c r="I21" s="21" t="s">
        <v>13</v>
      </c>
      <c r="J21" s="120" t="s">
        <v>14</v>
      </c>
      <c r="L21" s="129" t="s">
        <v>36</v>
      </c>
      <c r="M21" s="130">
        <f>' Global Refugees'!I26</f>
        <v>35822</v>
      </c>
      <c r="N21" s="130">
        <f t="shared" ref="N21:N26" si="1">M21*O21</f>
        <v>18892.522799999999</v>
      </c>
      <c r="O21" s="164">
        <v>0.52739999999999998</v>
      </c>
    </row>
    <row r="22" spans="1:17" ht="14" thickBot="1" x14ac:dyDescent="0.2">
      <c r="A22" s="212">
        <v>43320</v>
      </c>
      <c r="B22" s="121" t="s">
        <v>36</v>
      </c>
      <c r="C22" s="22">
        <v>14660000</v>
      </c>
      <c r="D22" s="22"/>
      <c r="E22" s="22">
        <v>50000</v>
      </c>
      <c r="F22" s="23">
        <v>26500</v>
      </c>
      <c r="G22" s="22">
        <v>7344719</v>
      </c>
      <c r="H22" s="23">
        <v>2075692</v>
      </c>
      <c r="I22" s="23">
        <f>G22-H22</f>
        <v>5269027</v>
      </c>
      <c r="J22" s="126">
        <f>1-(SUM(H22/G22))</f>
        <v>0.71738986882956313</v>
      </c>
      <c r="L22" s="129" t="s">
        <v>2</v>
      </c>
      <c r="M22" s="130">
        <f>' Global Refugees'!I29</f>
        <v>288766</v>
      </c>
      <c r="N22" s="130">
        <f t="shared" si="1"/>
        <v>176147.26</v>
      </c>
      <c r="O22" s="118">
        <v>0.61</v>
      </c>
    </row>
    <row r="23" spans="1:17" ht="14" thickBot="1" x14ac:dyDescent="0.2">
      <c r="A23" s="212">
        <v>43320</v>
      </c>
      <c r="B23" s="121" t="s">
        <v>2</v>
      </c>
      <c r="C23" s="22">
        <v>66119117</v>
      </c>
      <c r="D23" s="22"/>
      <c r="E23" s="22">
        <v>386000</v>
      </c>
      <c r="F23" s="23">
        <v>216160</v>
      </c>
      <c r="G23" s="22">
        <v>10621526</v>
      </c>
      <c r="H23" s="23">
        <v>2698740</v>
      </c>
      <c r="I23" s="23">
        <f>G23-H23</f>
        <v>7922786</v>
      </c>
      <c r="J23" s="126">
        <f>1-(SUM(H23/G23))</f>
        <v>0.74591786528602388</v>
      </c>
      <c r="L23" s="158" t="s">
        <v>42</v>
      </c>
      <c r="M23" s="130">
        <f>' Global Refugees'!I25</f>
        <v>84470</v>
      </c>
      <c r="N23" s="130">
        <f t="shared" si="1"/>
        <v>48992.6</v>
      </c>
      <c r="O23" s="118">
        <v>0.57999999999999996</v>
      </c>
    </row>
    <row r="24" spans="1:17" ht="14" thickBot="1" x14ac:dyDescent="0.2">
      <c r="A24" s="212">
        <v>43320</v>
      </c>
      <c r="B24" s="121" t="s">
        <v>42</v>
      </c>
      <c r="C24" s="22"/>
      <c r="D24" s="22"/>
      <c r="E24" s="22"/>
      <c r="F24" s="23"/>
      <c r="G24" s="22">
        <v>2030000</v>
      </c>
      <c r="H24" s="23">
        <v>0</v>
      </c>
      <c r="I24" s="23">
        <f>G24-H24</f>
        <v>2030000</v>
      </c>
      <c r="J24" s="126">
        <f>1-(SUM(H24/G24))</f>
        <v>1</v>
      </c>
      <c r="L24" s="133" t="s">
        <v>59</v>
      </c>
      <c r="M24" s="160">
        <f>' Global Refugees'!I27</f>
        <v>41407</v>
      </c>
      <c r="N24" s="160">
        <f t="shared" si="1"/>
        <v>21531.64</v>
      </c>
      <c r="O24" s="118">
        <v>0.52</v>
      </c>
      <c r="P24" s="150">
        <v>3795432</v>
      </c>
      <c r="Q24" s="150">
        <v>14518175</v>
      </c>
    </row>
    <row r="25" spans="1:17" ht="14" thickBot="1" x14ac:dyDescent="0.2">
      <c r="A25" s="212">
        <v>43320</v>
      </c>
      <c r="B25" s="121" t="s">
        <v>59</v>
      </c>
      <c r="C25" s="22"/>
      <c r="D25" s="22"/>
      <c r="E25" s="22">
        <v>25000</v>
      </c>
      <c r="F25" s="23">
        <v>14500</v>
      </c>
      <c r="G25" s="22">
        <v>8830000</v>
      </c>
      <c r="H25" s="23">
        <v>2785395</v>
      </c>
      <c r="I25" s="23">
        <f>G25-H25</f>
        <v>6044605</v>
      </c>
      <c r="J25" s="126">
        <f>1-(SUM(H25/G25))</f>
        <v>0.68455322763306903</v>
      </c>
      <c r="L25" s="133" t="s">
        <v>37</v>
      </c>
      <c r="M25" s="160">
        <v>75726</v>
      </c>
      <c r="N25" s="160">
        <f t="shared" si="1"/>
        <v>37863</v>
      </c>
      <c r="O25" s="118">
        <v>0.5</v>
      </c>
      <c r="P25" s="150">
        <v>1070411</v>
      </c>
      <c r="Q25" s="150">
        <v>1775803</v>
      </c>
    </row>
    <row r="26" spans="1:17" ht="14" thickBot="1" x14ac:dyDescent="0.2">
      <c r="A26" s="212">
        <v>43320</v>
      </c>
      <c r="B26" s="121" t="s">
        <v>37</v>
      </c>
      <c r="C26" s="22"/>
      <c r="D26" s="22"/>
      <c r="E26" s="22"/>
      <c r="F26" s="23"/>
      <c r="G26" s="22">
        <v>1000000</v>
      </c>
      <c r="H26" s="23">
        <v>0</v>
      </c>
      <c r="I26" s="23">
        <f t="shared" ref="I26:I27" si="2">G26-H26</f>
        <v>1000000</v>
      </c>
      <c r="J26" s="126">
        <f t="shared" ref="J26:J27" si="3">1-(SUM(H26/G26))</f>
        <v>1</v>
      </c>
      <c r="L26" s="133" t="s">
        <v>56</v>
      </c>
      <c r="M26" s="160">
        <f>' Global Refugees'!I22</f>
        <v>71255</v>
      </c>
      <c r="N26" s="160">
        <f t="shared" si="1"/>
        <v>36340.050000000003</v>
      </c>
      <c r="O26" s="118">
        <v>0.51</v>
      </c>
    </row>
    <row r="27" spans="1:17" ht="23" thickBot="1" x14ac:dyDescent="0.2">
      <c r="B27" s="121" t="s">
        <v>56</v>
      </c>
      <c r="C27" s="22">
        <v>26000000</v>
      </c>
      <c r="D27" s="22"/>
      <c r="E27" s="22"/>
      <c r="F27" s="23"/>
      <c r="G27" s="22">
        <v>1800000</v>
      </c>
      <c r="H27" s="23">
        <v>450000</v>
      </c>
      <c r="I27" s="23">
        <f t="shared" si="2"/>
        <v>1350000</v>
      </c>
      <c r="J27" s="126">
        <f t="shared" si="3"/>
        <v>0.75</v>
      </c>
      <c r="L27" s="159"/>
      <c r="M27" s="135" t="s">
        <v>44</v>
      </c>
      <c r="N27" s="135" t="s">
        <v>44</v>
      </c>
    </row>
    <row r="28" spans="1:17" ht="15" thickBot="1" x14ac:dyDescent="0.2">
      <c r="B28" s="123" t="s">
        <v>15</v>
      </c>
      <c r="C28" s="124">
        <f>SUM(C22:C22)</f>
        <v>14660000</v>
      </c>
      <c r="D28" s="124"/>
      <c r="E28" s="124">
        <f>SUM(E22:E22)</f>
        <v>50000</v>
      </c>
      <c r="F28" s="124">
        <f>SUM(F22:F22)</f>
        <v>26500</v>
      </c>
      <c r="G28" s="124">
        <f>SUM(G22:G27)</f>
        <v>31626245</v>
      </c>
      <c r="H28" s="124">
        <f t="shared" ref="H28:I28" si="4">SUM(H22:H27)</f>
        <v>8009827</v>
      </c>
      <c r="I28" s="124">
        <f t="shared" si="4"/>
        <v>23616418</v>
      </c>
      <c r="J28" s="125">
        <f>1-(SUM(H28/G28))</f>
        <v>0.74673480838461859</v>
      </c>
      <c r="L28" s="3"/>
      <c r="M28" s="128">
        <v>43281</v>
      </c>
      <c r="N28" s="128">
        <v>43281</v>
      </c>
    </row>
    <row r="29" spans="1:17" x14ac:dyDescent="0.15">
      <c r="E29" s="20" t="s">
        <v>51</v>
      </c>
      <c r="F29" s="20" t="s">
        <v>51</v>
      </c>
      <c r="G29" s="20" t="s">
        <v>51</v>
      </c>
    </row>
    <row r="30" spans="1:17" x14ac:dyDescent="0.15">
      <c r="G30" s="20" t="s">
        <v>135</v>
      </c>
      <c r="H30" s="77"/>
    </row>
    <row r="31" spans="1:17" x14ac:dyDescent="0.15">
      <c r="B31" s="20" t="s">
        <v>119</v>
      </c>
      <c r="C31" s="20" t="s">
        <v>132</v>
      </c>
      <c r="E31" s="20" t="s">
        <v>133</v>
      </c>
      <c r="F31" s="20" t="s">
        <v>134</v>
      </c>
      <c r="G31" s="20" t="s">
        <v>136</v>
      </c>
      <c r="M31" s="249">
        <v>2554395</v>
      </c>
      <c r="N31" s="249">
        <v>231000</v>
      </c>
    </row>
    <row r="32" spans="1:17" x14ac:dyDescent="0.15">
      <c r="B32" s="20" t="s">
        <v>42</v>
      </c>
      <c r="C32" s="150">
        <f>G24+G15</f>
        <v>6690000</v>
      </c>
      <c r="E32" s="150">
        <f>H24+H15</f>
        <v>1985994</v>
      </c>
      <c r="F32" s="150">
        <f>C32-E32</f>
        <v>4704006</v>
      </c>
      <c r="G32" s="211">
        <f>F32/C32</f>
        <v>0.70313991031390133</v>
      </c>
      <c r="N32" s="249">
        <f>N31+M31</f>
        <v>2785395</v>
      </c>
    </row>
    <row r="33" spans="2:7" x14ac:dyDescent="0.15">
      <c r="B33" s="20" t="s">
        <v>37</v>
      </c>
      <c r="C33" s="150">
        <f>G26+G14</f>
        <v>2837000</v>
      </c>
      <c r="E33" s="150">
        <f>H26+H14</f>
        <v>0</v>
      </c>
      <c r="F33" s="150">
        <f>C33-E33</f>
        <v>2837000</v>
      </c>
      <c r="G33" s="211">
        <f t="shared" ref="G33:G34" si="5">F33/C33</f>
        <v>1</v>
      </c>
    </row>
    <row r="34" spans="2:7" x14ac:dyDescent="0.15">
      <c r="B34" s="20" t="s">
        <v>2</v>
      </c>
      <c r="C34" s="150">
        <f>G23+G13+G6</f>
        <v>62457119</v>
      </c>
      <c r="D34" s="150">
        <f t="shared" ref="D34" si="6">H24+H15</f>
        <v>1985994</v>
      </c>
      <c r="E34" s="150">
        <f>H23+H13+H6</f>
        <v>5769591</v>
      </c>
      <c r="F34" s="150">
        <f>C34-E34</f>
        <v>56687528</v>
      </c>
      <c r="G34" s="211">
        <f t="shared" si="5"/>
        <v>0.90762316462275505</v>
      </c>
    </row>
  </sheetData>
  <mergeCells count="24">
    <mergeCell ref="H11:H12"/>
    <mergeCell ref="I11:J11"/>
    <mergeCell ref="B20:B21"/>
    <mergeCell ref="C20:C21"/>
    <mergeCell ref="E20:E21"/>
    <mergeCell ref="F20:F21"/>
    <mergeCell ref="G20:G21"/>
    <mergeCell ref="H20:H21"/>
    <mergeCell ref="I20:J20"/>
    <mergeCell ref="B11:B12"/>
    <mergeCell ref="C11:C12"/>
    <mergeCell ref="E11:E12"/>
    <mergeCell ref="F11:F12"/>
    <mergeCell ref="G11:G12"/>
    <mergeCell ref="B19:J19"/>
    <mergeCell ref="B10:J10"/>
    <mergeCell ref="B1:J1"/>
    <mergeCell ref="H2:H3"/>
    <mergeCell ref="I2:J2"/>
    <mergeCell ref="B2:B3"/>
    <mergeCell ref="C2:C3"/>
    <mergeCell ref="E2:E3"/>
    <mergeCell ref="F2:F3"/>
    <mergeCell ref="G2:G3"/>
  </mergeCells>
  <pageMargins left="0.25" right="0.25" top="0.75" bottom="0.75" header="0.3" footer="0.3"/>
  <pageSetup paperSize="9" scale="68" orientation="landscape" r:id="rId1"/>
  <ignoredErrors>
    <ignoredError sqref="C16 G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BD0FF"/>
    <pageSetUpPr fitToPage="1"/>
  </sheetPr>
  <dimension ref="A1:U82"/>
  <sheetViews>
    <sheetView zoomScale="115" zoomScaleNormal="115" workbookViewId="0">
      <selection activeCell="D10" sqref="D10"/>
    </sheetView>
  </sheetViews>
  <sheetFormatPr baseColWidth="10" defaultColWidth="9.1640625" defaultRowHeight="15" x14ac:dyDescent="0.2"/>
  <cols>
    <col min="1" max="1" width="8.5" style="1" bestFit="1" customWidth="1"/>
    <col min="2" max="2" width="24" style="1" customWidth="1"/>
    <col min="3" max="3" width="11.1640625" style="74" customWidth="1"/>
    <col min="4" max="5" width="10.83203125" style="1" bestFit="1" customWidth="1"/>
    <col min="6" max="6" width="9.1640625" style="2" bestFit="1" customWidth="1"/>
    <col min="7" max="7" width="11.83203125" bestFit="1" customWidth="1"/>
    <col min="8" max="16" width="9.1640625" style="82"/>
    <col min="17" max="17" width="36" style="82" bestFit="1" customWidth="1"/>
    <col min="18" max="18" width="12.83203125" style="82" bestFit="1" customWidth="1"/>
    <col min="19" max="16384" width="9.1640625" style="82"/>
  </cols>
  <sheetData>
    <row r="1" spans="1:21" s="80" customFormat="1" ht="78" x14ac:dyDescent="0.2">
      <c r="A1" s="6" t="s">
        <v>10</v>
      </c>
      <c r="B1" s="6" t="s">
        <v>8</v>
      </c>
      <c r="C1" s="6" t="s">
        <v>7</v>
      </c>
      <c r="D1" s="6" t="s">
        <v>69</v>
      </c>
      <c r="E1" s="6" t="s">
        <v>70</v>
      </c>
      <c r="F1" s="6" t="s">
        <v>16</v>
      </c>
      <c r="G1" s="6" t="s">
        <v>9</v>
      </c>
      <c r="P1" s="216" t="str">
        <f>A1</f>
        <v>Sector</v>
      </c>
      <c r="Q1" s="217" t="str">
        <f>B1</f>
        <v>INDICATOR</v>
      </c>
      <c r="R1" s="217" t="s">
        <v>137</v>
      </c>
      <c r="S1" s="218">
        <v>43070</v>
      </c>
      <c r="T1" s="219">
        <v>42887</v>
      </c>
      <c r="U1" s="220" t="s">
        <v>138</v>
      </c>
    </row>
    <row r="2" spans="1:21" s="81" customFormat="1" ht="26" x14ac:dyDescent="0.15">
      <c r="A2" s="274" t="s">
        <v>3</v>
      </c>
      <c r="B2" s="277" t="s">
        <v>22</v>
      </c>
      <c r="C2" s="47" t="s">
        <v>48</v>
      </c>
      <c r="D2" s="18">
        <f>SUM(D3:D5)</f>
        <v>25645</v>
      </c>
      <c r="E2" s="17">
        <f>SUM(E3:E5)</f>
        <v>4284</v>
      </c>
      <c r="F2" s="17">
        <f>IF(D2-E2&lt;0,0,D2-E2)</f>
        <v>21361</v>
      </c>
      <c r="G2" s="19">
        <f>E2/D2</f>
        <v>0.16705010723337882</v>
      </c>
      <c r="P2" s="216" t="str">
        <f>A2</f>
        <v>Nutrition</v>
      </c>
      <c r="Q2" s="217" t="str">
        <f>B2</f>
        <v xml:space="preserve"> # of children admitted for SAM treatment</v>
      </c>
      <c r="R2" s="216">
        <f>E2+E37+E71+E78</f>
        <v>5684</v>
      </c>
      <c r="S2" s="216">
        <f>'[1]Results by country'!$E79</f>
        <v>36641</v>
      </c>
      <c r="T2" s="216">
        <f>'[2]Results by sector'!$H$83</f>
        <v>21089</v>
      </c>
      <c r="U2" s="222">
        <f>S2-T2+R2</f>
        <v>21236</v>
      </c>
    </row>
    <row r="3" spans="1:21" s="81" customFormat="1" ht="13" x14ac:dyDescent="0.15">
      <c r="A3" s="275"/>
      <c r="B3" s="278"/>
      <c r="C3" s="47" t="s">
        <v>0</v>
      </c>
      <c r="D3" s="18">
        <f>'Results by country'!D9</f>
        <v>8000</v>
      </c>
      <c r="E3" s="17">
        <f>'Results by country'!E9</f>
        <v>2085</v>
      </c>
      <c r="F3" s="17">
        <f>IF(D3-E3&lt;0,0,D3-E3)</f>
        <v>5915</v>
      </c>
      <c r="G3" s="19">
        <f>E3/D3</f>
        <v>0.260625</v>
      </c>
      <c r="P3" s="216" t="str">
        <f>A7</f>
        <v>Health</v>
      </c>
      <c r="Q3" s="216" t="str">
        <f t="shared" ref="Q3" si="0">B7</f>
        <v># of children vaccinated against measles</v>
      </c>
      <c r="R3" s="216">
        <f>E7+E42+E72+E79</f>
        <v>70088</v>
      </c>
      <c r="S3" s="216">
        <f>'[1]Results by country'!$E80</f>
        <v>596684</v>
      </c>
      <c r="T3" s="216">
        <f>'[2]Results by sector'!$H$82</f>
        <v>206137</v>
      </c>
      <c r="U3" s="222">
        <f t="shared" ref="U3:U5" si="1">S3-T3+R3</f>
        <v>460635</v>
      </c>
    </row>
    <row r="4" spans="1:21" s="81" customFormat="1" ht="13" x14ac:dyDescent="0.15">
      <c r="A4" s="275"/>
      <c r="B4" s="278"/>
      <c r="C4" s="47" t="s">
        <v>1</v>
      </c>
      <c r="D4" s="18">
        <f>'Results by country'!D16</f>
        <v>6000</v>
      </c>
      <c r="E4" s="17">
        <f>'Results by country'!E16</f>
        <v>1643</v>
      </c>
      <c r="F4" s="17">
        <f>IF(D4-E4&lt;0,0,D4-E4)</f>
        <v>4357</v>
      </c>
      <c r="G4" s="19">
        <f>E4/D4</f>
        <v>0.27383333333333332</v>
      </c>
      <c r="P4" s="216" t="str">
        <f>A12</f>
        <v>Education</v>
      </c>
      <c r="Q4" s="216" t="str">
        <f t="shared" ref="Q4" si="2">B12</f>
        <v xml:space="preserve"># of children accessing quality education </v>
      </c>
      <c r="R4" s="216">
        <f>E12+E47+E73+E80</f>
        <v>218844</v>
      </c>
      <c r="S4" s="216">
        <f>'[1]Results by country'!$E81</f>
        <v>320406</v>
      </c>
      <c r="T4" s="216">
        <f>'[2]Results by sector'!$H$81</f>
        <v>203185</v>
      </c>
      <c r="U4" s="222">
        <f t="shared" si="1"/>
        <v>336065</v>
      </c>
    </row>
    <row r="5" spans="1:21" s="81" customFormat="1" ht="13" x14ac:dyDescent="0.15">
      <c r="A5" s="276"/>
      <c r="B5" s="279"/>
      <c r="C5" s="47" t="s">
        <v>2</v>
      </c>
      <c r="D5" s="17">
        <f>'Results by country'!D23</f>
        <v>11645</v>
      </c>
      <c r="E5" s="17">
        <f>'Results by country'!E23</f>
        <v>556</v>
      </c>
      <c r="F5" s="17">
        <f>IF(D5-E5&lt;0,0,D5-E5)</f>
        <v>11089</v>
      </c>
      <c r="G5" s="19">
        <f>E5/D5</f>
        <v>4.7745813653928722E-2</v>
      </c>
      <c r="P5" s="216" t="str">
        <f>A17</f>
        <v>WASH</v>
      </c>
      <c r="Q5" s="216" t="str">
        <f t="shared" ref="Q5" si="3">B17</f>
        <v xml:space="preserve"> # of people with access to safe water</v>
      </c>
      <c r="R5" s="216">
        <f>E17+E52+E74+E81</f>
        <v>230075</v>
      </c>
      <c r="S5" s="216">
        <f>'[1]Results by country'!$E82</f>
        <v>655310</v>
      </c>
      <c r="T5" s="216">
        <f>'[2]Results by sector'!$H$80</f>
        <v>442831</v>
      </c>
      <c r="U5" s="222">
        <f t="shared" si="1"/>
        <v>442554</v>
      </c>
    </row>
    <row r="6" spans="1:21" s="88" customFormat="1" ht="57" customHeight="1" x14ac:dyDescent="0.15">
      <c r="A6" s="264"/>
      <c r="B6" s="264"/>
      <c r="C6" s="264"/>
      <c r="D6" s="264"/>
      <c r="E6" s="264"/>
      <c r="F6" s="264"/>
      <c r="G6" s="264"/>
      <c r="P6" s="216" t="str">
        <f>A22</f>
        <v>CP</v>
      </c>
      <c r="Q6" s="216" t="str">
        <f t="shared" ref="Q6" si="4">B22</f>
        <v># of UASC receiving protection services</v>
      </c>
      <c r="R6" s="216">
        <f>E22+E57+E75+E82</f>
        <v>14603</v>
      </c>
      <c r="S6" s="216">
        <f>'[1]Results by country'!$E83</f>
        <v>65913</v>
      </c>
      <c r="T6" s="216">
        <f>'[2]Results by sector'!$H$79</f>
        <v>57813</v>
      </c>
      <c r="U6" s="222">
        <f>S6-T6+R6</f>
        <v>22703</v>
      </c>
    </row>
    <row r="7" spans="1:21" s="81" customFormat="1" ht="26" x14ac:dyDescent="0.15">
      <c r="A7" s="267" t="s">
        <v>4</v>
      </c>
      <c r="B7" s="268" t="s">
        <v>23</v>
      </c>
      <c r="C7" s="15" t="s">
        <v>48</v>
      </c>
      <c r="D7" s="15">
        <f>SUM(D8:D10)</f>
        <v>640752</v>
      </c>
      <c r="E7" s="15">
        <f>SUM(E8:E10)</f>
        <v>45171</v>
      </c>
      <c r="F7" s="15">
        <f>IF(D7-E7&lt;0,0,D7-E7)</f>
        <v>595581</v>
      </c>
      <c r="G7" s="86">
        <f>E7/D7</f>
        <v>7.0496853696906142E-2</v>
      </c>
      <c r="U7" s="221"/>
    </row>
    <row r="8" spans="1:21" s="81" customFormat="1" ht="13" x14ac:dyDescent="0.15">
      <c r="A8" s="267"/>
      <c r="B8" s="268"/>
      <c r="C8" s="15" t="s">
        <v>0</v>
      </c>
      <c r="D8" s="15">
        <f>'Results by country'!D10</f>
        <v>74752</v>
      </c>
      <c r="E8" s="15">
        <f>'Results by country'!E10</f>
        <v>10255</v>
      </c>
      <c r="F8" s="15">
        <f>IF(D8-E8&lt;0,0,D8-E8)</f>
        <v>64497</v>
      </c>
      <c r="G8" s="86">
        <f>E8/D8</f>
        <v>0.13718696489726026</v>
      </c>
      <c r="O8" s="81">
        <v>8859136</v>
      </c>
      <c r="P8" s="81">
        <v>18144</v>
      </c>
    </row>
    <row r="9" spans="1:21" s="81" customFormat="1" ht="13" x14ac:dyDescent="0.15">
      <c r="A9" s="267"/>
      <c r="B9" s="268"/>
      <c r="C9" s="15" t="s">
        <v>1</v>
      </c>
      <c r="D9" s="15">
        <f>'Results by country'!D17</f>
        <v>14000</v>
      </c>
      <c r="E9" s="15">
        <f>'Results by country'!E17</f>
        <v>3876</v>
      </c>
      <c r="F9" s="15">
        <f>IF(D9-E9&lt;0,0,D9-E9)</f>
        <v>10124</v>
      </c>
      <c r="G9" s="86">
        <f>E9/D9</f>
        <v>0.27685714285714286</v>
      </c>
      <c r="O9" s="81">
        <v>3224000</v>
      </c>
      <c r="P9" s="81">
        <v>12802</v>
      </c>
    </row>
    <row r="10" spans="1:21" s="81" customFormat="1" ht="13" x14ac:dyDescent="0.15">
      <c r="A10" s="267"/>
      <c r="B10" s="268"/>
      <c r="C10" s="15" t="s">
        <v>2</v>
      </c>
      <c r="D10" s="15">
        <f>'Results by country'!D24</f>
        <v>552000</v>
      </c>
      <c r="E10" s="15">
        <f>'Results by country'!E24</f>
        <v>31040</v>
      </c>
      <c r="F10" s="15">
        <f>IF(D10-E10&lt;0,0,D10-E10)</f>
        <v>520960</v>
      </c>
      <c r="G10" s="86">
        <f>E10/D10</f>
        <v>5.6231884057971013E-2</v>
      </c>
      <c r="O10" s="81">
        <f>O8-O9</f>
        <v>5635136</v>
      </c>
      <c r="P10" s="81">
        <f>O9/O10</f>
        <v>0.5721246124317142</v>
      </c>
    </row>
    <row r="11" spans="1:21" s="88" customFormat="1" ht="48" customHeight="1" x14ac:dyDescent="0.2">
      <c r="A11" s="264"/>
      <c r="B11" s="264"/>
      <c r="C11" s="264"/>
      <c r="D11" s="264"/>
      <c r="E11" s="264"/>
      <c r="F11" s="264"/>
      <c r="G11" s="264"/>
      <c r="P11" s="248"/>
    </row>
    <row r="12" spans="1:21" s="81" customFormat="1" ht="26" x14ac:dyDescent="0.15">
      <c r="A12" s="271" t="s">
        <v>11</v>
      </c>
      <c r="B12" s="272" t="s">
        <v>24</v>
      </c>
      <c r="C12" s="69" t="s">
        <v>48</v>
      </c>
      <c r="D12" s="13">
        <f>SUM(D13:D15)</f>
        <v>189570</v>
      </c>
      <c r="E12" s="13">
        <f>SUM(E13:E15)</f>
        <v>124240</v>
      </c>
      <c r="F12" s="13">
        <f>IF(D12-E12&lt;0,0,D12-E12)</f>
        <v>65330</v>
      </c>
      <c r="G12" s="87">
        <f>E12/D12</f>
        <v>0.65537796064778187</v>
      </c>
      <c r="O12" s="81">
        <v>363000</v>
      </c>
    </row>
    <row r="13" spans="1:21" s="81" customFormat="1" ht="13" x14ac:dyDescent="0.15">
      <c r="A13" s="271"/>
      <c r="B13" s="272"/>
      <c r="C13" s="69" t="s">
        <v>0</v>
      </c>
      <c r="D13" s="13">
        <f>'Results by country'!D11</f>
        <v>50000</v>
      </c>
      <c r="E13" s="13">
        <f>'Results by country'!E11</f>
        <v>45584</v>
      </c>
      <c r="F13" s="78">
        <f>IF(D13-E13&lt;0,0,D13-E13)</f>
        <v>4416</v>
      </c>
      <c r="G13" s="87">
        <f>E13/D13</f>
        <v>0.91168000000000005</v>
      </c>
      <c r="O13" s="81">
        <v>14789</v>
      </c>
    </row>
    <row r="14" spans="1:21" s="81" customFormat="1" ht="13" x14ac:dyDescent="0.15">
      <c r="A14" s="271"/>
      <c r="B14" s="272"/>
      <c r="C14" s="69" t="s">
        <v>1</v>
      </c>
      <c r="D14" s="13">
        <f>'Results by country'!D18</f>
        <v>53000</v>
      </c>
      <c r="E14" s="13">
        <f>'Results by country'!E18</f>
        <v>45254</v>
      </c>
      <c r="F14" s="78">
        <f>IF(D14-E14&lt;0,0,D14-E14)</f>
        <v>7746</v>
      </c>
      <c r="G14" s="87">
        <f>E14/D14</f>
        <v>0.85384905660377364</v>
      </c>
      <c r="O14" s="81">
        <f>O13/O12</f>
        <v>4.0741046831955924E-2</v>
      </c>
    </row>
    <row r="15" spans="1:21" s="81" customFormat="1" ht="13" x14ac:dyDescent="0.15">
      <c r="A15" s="271"/>
      <c r="B15" s="272"/>
      <c r="C15" s="69" t="s">
        <v>2</v>
      </c>
      <c r="D15" s="13">
        <f>'Results by country'!D25</f>
        <v>86570</v>
      </c>
      <c r="E15" s="13">
        <f>'Results by country'!E25</f>
        <v>33402</v>
      </c>
      <c r="F15" s="78">
        <f>IF(D15-E15&lt;0,0,D15-E15)</f>
        <v>53168</v>
      </c>
      <c r="G15" s="87">
        <f>E15/D15</f>
        <v>0.38583805013284045</v>
      </c>
    </row>
    <row r="16" spans="1:21" s="88" customFormat="1" ht="42.75" customHeight="1" x14ac:dyDescent="0.2">
      <c r="A16" s="264"/>
      <c r="B16" s="264"/>
      <c r="C16" s="264"/>
      <c r="D16" s="264"/>
      <c r="E16" s="264"/>
      <c r="F16" s="264"/>
      <c r="G16" s="264"/>
    </row>
    <row r="17" spans="1:7" s="81" customFormat="1" ht="26" x14ac:dyDescent="0.15">
      <c r="A17" s="273" t="s">
        <v>5</v>
      </c>
      <c r="B17" s="280" t="s">
        <v>25</v>
      </c>
      <c r="C17" s="11" t="s">
        <v>48</v>
      </c>
      <c r="D17" s="10">
        <f>SUM(D18:D20)</f>
        <v>386300</v>
      </c>
      <c r="E17" s="11">
        <f>SUM(E18:E20)</f>
        <v>67561</v>
      </c>
      <c r="F17" s="11">
        <f>IF(D17-E17&lt;0,0,D17-E17)</f>
        <v>318739</v>
      </c>
      <c r="G17" s="12">
        <f>E17/D17</f>
        <v>0.1748925705410303</v>
      </c>
    </row>
    <row r="18" spans="1:7" s="81" customFormat="1" ht="13" x14ac:dyDescent="0.15">
      <c r="A18" s="273"/>
      <c r="B18" s="280"/>
      <c r="C18" s="11" t="s">
        <v>0</v>
      </c>
      <c r="D18" s="10">
        <f>'Results by country'!D12</f>
        <v>3300</v>
      </c>
      <c r="E18" s="11">
        <f>'Results by country'!E12</f>
        <v>0</v>
      </c>
      <c r="F18" s="11">
        <f>IF(D18-E18&lt;0,0,D18-E18)</f>
        <v>3300</v>
      </c>
      <c r="G18" s="12">
        <f>E18/D18</f>
        <v>0</v>
      </c>
    </row>
    <row r="19" spans="1:7" s="81" customFormat="1" ht="13" x14ac:dyDescent="0.15">
      <c r="A19" s="273"/>
      <c r="B19" s="280"/>
      <c r="C19" s="11" t="s">
        <v>1</v>
      </c>
      <c r="D19" s="10">
        <f>'Results by country'!D19</f>
        <v>292000</v>
      </c>
      <c r="E19" s="11">
        <f>'Results by country'!E19</f>
        <v>34768</v>
      </c>
      <c r="F19" s="11">
        <f>IF(D19-E19&lt;0,0,D19-E19)</f>
        <v>257232</v>
      </c>
      <c r="G19" s="12">
        <f>E19/D19</f>
        <v>0.11906849315068493</v>
      </c>
    </row>
    <row r="20" spans="1:7" s="81" customFormat="1" ht="13" x14ac:dyDescent="0.15">
      <c r="A20" s="273"/>
      <c r="B20" s="280"/>
      <c r="C20" s="11" t="s">
        <v>2</v>
      </c>
      <c r="D20" s="11">
        <f>'Results by country'!D26</f>
        <v>91000</v>
      </c>
      <c r="E20" s="11">
        <f>'Results by country'!E26</f>
        <v>32793</v>
      </c>
      <c r="F20" s="11">
        <f>IF(D20-E20&lt;0,0,D20-E20)</f>
        <v>58207</v>
      </c>
      <c r="G20" s="12">
        <f>E20/D20</f>
        <v>0.36036263736263735</v>
      </c>
    </row>
    <row r="21" spans="1:7" s="88" customFormat="1" ht="54" customHeight="1" x14ac:dyDescent="0.2">
      <c r="A21" s="263"/>
      <c r="B21" s="264"/>
      <c r="C21" s="264"/>
      <c r="D21" s="264"/>
      <c r="E21" s="264"/>
      <c r="F21" s="264"/>
      <c r="G21" s="264"/>
    </row>
    <row r="22" spans="1:7" s="81" customFormat="1" ht="26" x14ac:dyDescent="0.15">
      <c r="A22" s="269" t="s">
        <v>6</v>
      </c>
      <c r="B22" s="270" t="s">
        <v>26</v>
      </c>
      <c r="C22" s="7" t="s">
        <v>48</v>
      </c>
      <c r="D22" s="7">
        <f>SUM(D23:D25)</f>
        <v>41144</v>
      </c>
      <c r="E22" s="7">
        <f>SUM(E23:E25)</f>
        <v>8700</v>
      </c>
      <c r="F22" s="7">
        <f>IF(D22-E22&lt;0,0,D22-E22)</f>
        <v>32444</v>
      </c>
      <c r="G22" s="8">
        <f>E22/D22</f>
        <v>0.2114524596538985</v>
      </c>
    </row>
    <row r="23" spans="1:7" s="81" customFormat="1" ht="13" x14ac:dyDescent="0.15">
      <c r="A23" s="269"/>
      <c r="B23" s="270"/>
      <c r="C23" s="7" t="s">
        <v>0</v>
      </c>
      <c r="D23" s="9">
        <f>'Results by country'!D13</f>
        <v>11470</v>
      </c>
      <c r="E23" s="7">
        <f>'Results by country'!E13</f>
        <v>201</v>
      </c>
      <c r="F23" s="7">
        <f>IF(D23-E23&lt;0,0,D23-E23)</f>
        <v>11269</v>
      </c>
      <c r="G23" s="8">
        <f>E23/D23</f>
        <v>1.7523975588491718E-2</v>
      </c>
    </row>
    <row r="24" spans="1:7" s="81" customFormat="1" ht="13" x14ac:dyDescent="0.15">
      <c r="A24" s="269"/>
      <c r="B24" s="270"/>
      <c r="C24" s="7" t="s">
        <v>1</v>
      </c>
      <c r="D24" s="9">
        <f>'Results by country'!D20</f>
        <v>18641</v>
      </c>
      <c r="E24" s="7">
        <f>'Results by country'!E20</f>
        <v>3525</v>
      </c>
      <c r="F24" s="7">
        <f>IF(D24-E24&lt;0,0,D24-E24)</f>
        <v>15116</v>
      </c>
      <c r="G24" s="8">
        <f>E24/D24</f>
        <v>0.18909929724800173</v>
      </c>
    </row>
    <row r="25" spans="1:7" s="81" customFormat="1" ht="13" x14ac:dyDescent="0.15">
      <c r="A25" s="269"/>
      <c r="B25" s="270"/>
      <c r="C25" s="7" t="s">
        <v>2</v>
      </c>
      <c r="D25" s="9">
        <f>'Results by country'!D27</f>
        <v>11033</v>
      </c>
      <c r="E25" s="7">
        <f>'Results by country'!E27</f>
        <v>4974</v>
      </c>
      <c r="F25" s="7">
        <f>IF(D25-E25&lt;0,0,D25-E25)</f>
        <v>6059</v>
      </c>
      <c r="G25" s="91">
        <f>E25/D25</f>
        <v>0.45082933019124444</v>
      </c>
    </row>
    <row r="28" spans="1:7" ht="14.25" customHeight="1" x14ac:dyDescent="0.2"/>
    <row r="29" spans="1:7" hidden="1" x14ac:dyDescent="0.2"/>
    <row r="30" spans="1:7" hidden="1" x14ac:dyDescent="0.2"/>
    <row r="31" spans="1:7" hidden="1" x14ac:dyDescent="0.2"/>
    <row r="32" spans="1:7" hidden="1" x14ac:dyDescent="0.2"/>
    <row r="33" spans="1:14" hidden="1" x14ac:dyDescent="0.2"/>
    <row r="34" spans="1:14" hidden="1" x14ac:dyDescent="0.2"/>
    <row r="35" spans="1:14" s="85" customFormat="1" ht="16" thickBot="1" x14ac:dyDescent="0.25">
      <c r="A35" s="262"/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</row>
    <row r="36" spans="1:14" s="80" customFormat="1" ht="78" x14ac:dyDescent="0.2">
      <c r="A36" s="6" t="s">
        <v>10</v>
      </c>
      <c r="B36" s="6" t="s">
        <v>8</v>
      </c>
      <c r="C36" s="6" t="s">
        <v>7</v>
      </c>
      <c r="D36" s="6" t="s">
        <v>71</v>
      </c>
      <c r="E36" s="6" t="s">
        <v>72</v>
      </c>
      <c r="F36" s="6" t="s">
        <v>16</v>
      </c>
      <c r="G36" s="6" t="s">
        <v>9</v>
      </c>
      <c r="H36" s="84"/>
      <c r="I36" s="84"/>
      <c r="J36" s="84"/>
      <c r="K36" s="84"/>
      <c r="L36" s="84"/>
      <c r="M36" s="84"/>
      <c r="N36" s="84"/>
    </row>
    <row r="37" spans="1:14" s="81" customFormat="1" ht="26" x14ac:dyDescent="0.15">
      <c r="A37" s="265" t="s">
        <v>3</v>
      </c>
      <c r="B37" s="266" t="s">
        <v>22</v>
      </c>
      <c r="C37" s="47" t="s">
        <v>49</v>
      </c>
      <c r="D37" s="48">
        <f>SUM(D39:D40)</f>
        <v>2404</v>
      </c>
      <c r="E37" s="17">
        <f>SUM(E39:E40)</f>
        <v>1127</v>
      </c>
      <c r="F37" s="17">
        <f>IF(D37-E37&lt;0,0,D37-E37)</f>
        <v>1277</v>
      </c>
      <c r="G37" s="19">
        <f>E37/D37</f>
        <v>0.46880199667221301</v>
      </c>
    </row>
    <row r="38" spans="1:14" s="81" customFormat="1" ht="13" x14ac:dyDescent="0.15">
      <c r="A38" s="265"/>
      <c r="B38" s="266"/>
      <c r="C38" s="47" t="s">
        <v>2</v>
      </c>
      <c r="D38" s="48">
        <f>'Results by country'!D38</f>
        <v>1087</v>
      </c>
      <c r="E38" s="17">
        <f>'Results by country'!E38</f>
        <v>239</v>
      </c>
      <c r="F38" s="17">
        <f>IF(D38-E38&lt;0,0,D38-E38)</f>
        <v>848</v>
      </c>
      <c r="G38" s="19">
        <f>E38/D38</f>
        <v>0.21987120515179392</v>
      </c>
    </row>
    <row r="39" spans="1:14" s="81" customFormat="1" ht="13" x14ac:dyDescent="0.15">
      <c r="A39" s="265"/>
      <c r="B39" s="266"/>
      <c r="C39" s="47" t="s">
        <v>37</v>
      </c>
      <c r="D39" s="48">
        <f>'Results by country'!D46</f>
        <v>300</v>
      </c>
      <c r="E39" s="17">
        <f>'Results by country'!E46</f>
        <v>62</v>
      </c>
      <c r="F39" s="17">
        <f>IF(D39-E39&lt;0,0,D39-E39)</f>
        <v>238</v>
      </c>
      <c r="G39" s="19">
        <f>E39/D39</f>
        <v>0.20666666666666667</v>
      </c>
    </row>
    <row r="40" spans="1:14" s="81" customFormat="1" ht="13" x14ac:dyDescent="0.15">
      <c r="A40" s="265"/>
      <c r="B40" s="266"/>
      <c r="C40" s="47" t="s">
        <v>42</v>
      </c>
      <c r="D40" s="17">
        <f>'Results by country'!D54</f>
        <v>2104</v>
      </c>
      <c r="E40" s="17">
        <f>'Results by country'!E54</f>
        <v>1065</v>
      </c>
      <c r="F40" s="17">
        <f>IF(D40-E40&lt;0,0,D40-E40)</f>
        <v>1039</v>
      </c>
      <c r="G40" s="19">
        <f>E40/D40</f>
        <v>0.50617870722433456</v>
      </c>
    </row>
    <row r="41" spans="1:14" s="88" customFormat="1" ht="42.75" customHeight="1" x14ac:dyDescent="0.2">
      <c r="A41" s="263"/>
      <c r="B41" s="264"/>
      <c r="C41" s="264"/>
      <c r="D41" s="264"/>
      <c r="E41" s="264"/>
      <c r="F41" s="264"/>
      <c r="G41" s="264"/>
    </row>
    <row r="42" spans="1:14" s="81" customFormat="1" ht="26" x14ac:dyDescent="0.15">
      <c r="A42" s="267" t="s">
        <v>4</v>
      </c>
      <c r="B42" s="268" t="s">
        <v>23</v>
      </c>
      <c r="C42" s="15" t="s">
        <v>49</v>
      </c>
      <c r="D42" s="15">
        <f>SUM(D44:D45)</f>
        <v>41900</v>
      </c>
      <c r="E42" s="15">
        <f>SUM(E44:E45)</f>
        <v>15884</v>
      </c>
      <c r="F42" s="15">
        <f>IF(D42-E42&lt;0,0,D42-E42)</f>
        <v>26016</v>
      </c>
      <c r="G42" s="16">
        <f>E42/D42</f>
        <v>0.37909307875894988</v>
      </c>
    </row>
    <row r="43" spans="1:14" s="81" customFormat="1" ht="13" x14ac:dyDescent="0.15">
      <c r="A43" s="267"/>
      <c r="B43" s="268"/>
      <c r="C43" s="15" t="s">
        <v>2</v>
      </c>
      <c r="D43" s="15">
        <f>'Results by country'!D39</f>
        <v>16500</v>
      </c>
      <c r="E43" s="15">
        <f>'Results by country'!E39</f>
        <v>20853</v>
      </c>
      <c r="F43" s="15">
        <f>IF(D43-E43&lt;0,0,D43-E43)</f>
        <v>0</v>
      </c>
      <c r="G43" s="16">
        <f>E43/D43</f>
        <v>1.2638181818181817</v>
      </c>
    </row>
    <row r="44" spans="1:14" s="81" customFormat="1" ht="13" x14ac:dyDescent="0.15">
      <c r="A44" s="267"/>
      <c r="B44" s="268"/>
      <c r="C44" s="15" t="s">
        <v>37</v>
      </c>
      <c r="D44" s="15">
        <f>'Results by country'!D47</f>
        <v>9900</v>
      </c>
      <c r="E44" s="15">
        <f>'Results by country'!E47</f>
        <v>2097</v>
      </c>
      <c r="F44" s="15">
        <f>IF(D44-E44&lt;0,0,D44-E44)</f>
        <v>7803</v>
      </c>
      <c r="G44" s="16"/>
    </row>
    <row r="45" spans="1:14" s="81" customFormat="1" ht="13" x14ac:dyDescent="0.15">
      <c r="A45" s="267"/>
      <c r="B45" s="268"/>
      <c r="C45" s="15" t="s">
        <v>42</v>
      </c>
      <c r="D45" s="15">
        <f>'Results by country'!D55</f>
        <v>32000</v>
      </c>
      <c r="E45" s="15">
        <f>'Results by country'!E55</f>
        <v>13787</v>
      </c>
      <c r="F45" s="15">
        <f>IF(D45-E45&lt;0,0,D45-E45)</f>
        <v>18213</v>
      </c>
      <c r="G45" s="16">
        <f>E45/D45</f>
        <v>0.43084375000000003</v>
      </c>
    </row>
    <row r="46" spans="1:14" s="88" customFormat="1" ht="42" customHeight="1" x14ac:dyDescent="0.2">
      <c r="A46" s="263"/>
      <c r="B46" s="264"/>
      <c r="C46" s="264"/>
      <c r="D46" s="264"/>
      <c r="E46" s="264"/>
      <c r="F46" s="264"/>
      <c r="G46" s="264"/>
    </row>
    <row r="47" spans="1:14" s="81" customFormat="1" ht="26" x14ac:dyDescent="0.15">
      <c r="A47" s="271" t="s">
        <v>11</v>
      </c>
      <c r="B47" s="272" t="s">
        <v>24</v>
      </c>
      <c r="C47" s="69" t="s">
        <v>49</v>
      </c>
      <c r="D47" s="44">
        <f>SUM(D49:D50)</f>
        <v>114000</v>
      </c>
      <c r="E47" s="44">
        <f>SUM(E49:E50)</f>
        <v>93182</v>
      </c>
      <c r="F47" s="44">
        <f>IF(D47-E47&lt;0,0,D47-E47)</f>
        <v>20818</v>
      </c>
      <c r="G47" s="14">
        <f>E47/D47</f>
        <v>0.81738596491228066</v>
      </c>
    </row>
    <row r="48" spans="1:14" s="81" customFormat="1" ht="13" x14ac:dyDescent="0.15">
      <c r="A48" s="271"/>
      <c r="B48" s="272"/>
      <c r="C48" s="69" t="s">
        <v>2</v>
      </c>
      <c r="D48" s="69">
        <f>'Results by country'!D40</f>
        <v>2061</v>
      </c>
      <c r="E48" s="44">
        <f>'Results by country'!E40</f>
        <v>0</v>
      </c>
      <c r="F48" s="78">
        <f>IF(D48-E48&lt;0,0,D48-E48)</f>
        <v>2061</v>
      </c>
      <c r="G48" s="14">
        <f>E48/D48</f>
        <v>0</v>
      </c>
    </row>
    <row r="49" spans="1:7" s="81" customFormat="1" ht="13" x14ac:dyDescent="0.15">
      <c r="A49" s="271"/>
      <c r="B49" s="272"/>
      <c r="C49" s="69" t="s">
        <v>37</v>
      </c>
      <c r="D49" s="44">
        <f>'Results by country'!D48</f>
        <v>19000</v>
      </c>
      <c r="E49" s="44">
        <f>'Results by country'!E48</f>
        <v>22947</v>
      </c>
      <c r="F49" s="78">
        <f>IF(D49-E49&lt;0,0,D49-E49)</f>
        <v>0</v>
      </c>
      <c r="G49" s="14">
        <f>E49/D49</f>
        <v>1.2077368421052632</v>
      </c>
    </row>
    <row r="50" spans="1:7" s="81" customFormat="1" ht="13" x14ac:dyDescent="0.15">
      <c r="A50" s="271"/>
      <c r="B50" s="272"/>
      <c r="C50" s="69" t="s">
        <v>42</v>
      </c>
      <c r="D50" s="44">
        <f>'Results by country'!D56</f>
        <v>95000</v>
      </c>
      <c r="E50" s="44">
        <f>'Results by country'!E56</f>
        <v>70235</v>
      </c>
      <c r="F50" s="78">
        <f>IF(D50-E50&lt;0,0,D50-E50)</f>
        <v>24765</v>
      </c>
      <c r="G50" s="14">
        <f>E50/D50</f>
        <v>0.73931578947368426</v>
      </c>
    </row>
    <row r="51" spans="1:7" s="88" customFormat="1" ht="51.75" customHeight="1" x14ac:dyDescent="0.2">
      <c r="A51" s="263"/>
      <c r="B51" s="264"/>
      <c r="C51" s="264"/>
      <c r="D51" s="264"/>
      <c r="E51" s="264"/>
      <c r="F51" s="264"/>
      <c r="G51" s="264"/>
    </row>
    <row r="52" spans="1:7" s="81" customFormat="1" ht="26" x14ac:dyDescent="0.15">
      <c r="A52" s="273" t="s">
        <v>5</v>
      </c>
      <c r="B52" s="280" t="s">
        <v>25</v>
      </c>
      <c r="C52" s="11" t="s">
        <v>49</v>
      </c>
      <c r="D52" s="46">
        <f>SUM(D53:D55)</f>
        <v>156250</v>
      </c>
      <c r="E52" s="11">
        <f>SUM(E53:E55)</f>
        <v>137624</v>
      </c>
      <c r="F52" s="11">
        <f>IF(D52-E52&lt;0,0,D52-E52)</f>
        <v>18626</v>
      </c>
      <c r="G52" s="12">
        <f>E52/D52</f>
        <v>0.88079359999999995</v>
      </c>
    </row>
    <row r="53" spans="1:7" s="81" customFormat="1" ht="13" x14ac:dyDescent="0.15">
      <c r="A53" s="273"/>
      <c r="B53" s="280"/>
      <c r="C53" s="11" t="s">
        <v>2</v>
      </c>
      <c r="D53" s="46">
        <f>'Results by country'!D41</f>
        <v>15000</v>
      </c>
      <c r="E53" s="11">
        <f>'Results by country'!E41</f>
        <v>0</v>
      </c>
      <c r="F53" s="11">
        <f>IF(D53-E53&lt;0,0,D53-E53)</f>
        <v>15000</v>
      </c>
      <c r="G53" s="12">
        <v>0</v>
      </c>
    </row>
    <row r="54" spans="1:7" s="81" customFormat="1" ht="13" x14ac:dyDescent="0.15">
      <c r="A54" s="273"/>
      <c r="B54" s="280"/>
      <c r="C54" s="11" t="s">
        <v>37</v>
      </c>
      <c r="D54" s="46">
        <f>'Results by country'!D49</f>
        <v>10000</v>
      </c>
      <c r="E54" s="11">
        <f>'Results by country'!E49</f>
        <v>0</v>
      </c>
      <c r="F54" s="11">
        <f>IF(D54-E54&lt;0,0,D54-E54)</f>
        <v>10000</v>
      </c>
      <c r="G54" s="12">
        <f>E54/D54</f>
        <v>0</v>
      </c>
    </row>
    <row r="55" spans="1:7" s="81" customFormat="1" ht="13" x14ac:dyDescent="0.15">
      <c r="A55" s="273"/>
      <c r="B55" s="280"/>
      <c r="C55" s="11" t="s">
        <v>42</v>
      </c>
      <c r="D55" s="11">
        <f>'Results by country'!D57</f>
        <v>131250</v>
      </c>
      <c r="E55" s="11">
        <f>'Results by country'!E57</f>
        <v>137624</v>
      </c>
      <c r="F55" s="11">
        <f>IF(D55-E55&lt;0,0,D55-E55)</f>
        <v>0</v>
      </c>
      <c r="G55" s="12">
        <f>E55/D55</f>
        <v>1.0485638095238095</v>
      </c>
    </row>
    <row r="56" spans="1:7" s="88" customFormat="1" ht="36" customHeight="1" x14ac:dyDescent="0.2">
      <c r="A56" s="263"/>
      <c r="B56" s="264"/>
      <c r="C56" s="264"/>
      <c r="D56" s="264"/>
      <c r="E56" s="264"/>
      <c r="F56" s="264"/>
      <c r="G56" s="264"/>
    </row>
    <row r="57" spans="1:7" s="81" customFormat="1" ht="26" x14ac:dyDescent="0.15">
      <c r="A57" s="269" t="s">
        <v>6</v>
      </c>
      <c r="B57" s="270" t="s">
        <v>26</v>
      </c>
      <c r="C57" s="7" t="s">
        <v>49</v>
      </c>
      <c r="D57" s="7">
        <f>SUM(D58:D60)</f>
        <v>5826</v>
      </c>
      <c r="E57" s="7">
        <f>SUM(E58:E60)</f>
        <v>5805</v>
      </c>
      <c r="F57" s="7">
        <f>IF(D57-E57&lt;0,0,D57-E57)</f>
        <v>21</v>
      </c>
      <c r="G57" s="8">
        <f>E57/D57</f>
        <v>0.99639546858908346</v>
      </c>
    </row>
    <row r="58" spans="1:7" s="81" customFormat="1" ht="13" x14ac:dyDescent="0.15">
      <c r="A58" s="269"/>
      <c r="B58" s="270"/>
      <c r="C58" s="7" t="s">
        <v>2</v>
      </c>
      <c r="D58" s="43">
        <f>'Results by country'!D43</f>
        <v>126</v>
      </c>
      <c r="E58" s="7">
        <f>'Results by country'!E43</f>
        <v>19</v>
      </c>
      <c r="F58" s="7">
        <f>IF(D58-E58&lt;0,0,D58-E58)</f>
        <v>107</v>
      </c>
      <c r="G58" s="8">
        <f>E58/D58</f>
        <v>0.15079365079365079</v>
      </c>
    </row>
    <row r="59" spans="1:7" s="81" customFormat="1" ht="13" x14ac:dyDescent="0.15">
      <c r="A59" s="269"/>
      <c r="B59" s="270"/>
      <c r="C59" s="7" t="s">
        <v>37</v>
      </c>
      <c r="D59" s="43">
        <f>'Results by country'!D51</f>
        <v>200</v>
      </c>
      <c r="E59" s="7">
        <f>'Results by country'!E51</f>
        <v>0</v>
      </c>
      <c r="F59" s="7">
        <f>IF(D59-E59&lt;0,0,D59-E59)</f>
        <v>200</v>
      </c>
      <c r="G59" s="8">
        <f>E59/D59</f>
        <v>0</v>
      </c>
    </row>
    <row r="60" spans="1:7" s="81" customFormat="1" ht="13" x14ac:dyDescent="0.15">
      <c r="A60" s="269"/>
      <c r="B60" s="270"/>
      <c r="C60" s="7" t="s">
        <v>42</v>
      </c>
      <c r="D60" s="43">
        <f>'Results by country'!D58</f>
        <v>5500</v>
      </c>
      <c r="E60" s="7">
        <f>'Results by country'!E58</f>
        <v>5786</v>
      </c>
      <c r="F60" s="7">
        <f>IF(D60-E60&lt;0,0,D60-E60)</f>
        <v>0</v>
      </c>
      <c r="G60" s="91">
        <f>E60/D60</f>
        <v>1.052</v>
      </c>
    </row>
    <row r="61" spans="1:7" ht="42" customHeight="1" x14ac:dyDescent="0.2">
      <c r="A61" s="263"/>
      <c r="B61" s="264"/>
      <c r="C61" s="264"/>
      <c r="D61" s="264"/>
      <c r="E61" s="264"/>
      <c r="F61" s="264"/>
      <c r="G61" s="264"/>
    </row>
    <row r="62" spans="1:7" ht="8.25" customHeight="1" x14ac:dyDescent="0.2"/>
    <row r="63" spans="1:7" hidden="1" x14ac:dyDescent="0.2"/>
    <row r="64" spans="1:7" hidden="1" x14ac:dyDescent="0.2"/>
    <row r="65" spans="1:14" hidden="1" x14ac:dyDescent="0.2"/>
    <row r="66" spans="1:14" hidden="1" x14ac:dyDescent="0.2"/>
    <row r="67" spans="1:14" hidden="1" x14ac:dyDescent="0.2"/>
    <row r="68" spans="1:14" hidden="1" x14ac:dyDescent="0.2"/>
    <row r="69" spans="1:14" s="85" customFormat="1" ht="16" thickBot="1" x14ac:dyDescent="0.25">
      <c r="A69" s="262"/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</row>
    <row r="70" spans="1:14" s="80" customFormat="1" ht="65" x14ac:dyDescent="0.2">
      <c r="A70" s="52" t="s">
        <v>10</v>
      </c>
      <c r="B70" s="53" t="s">
        <v>7</v>
      </c>
      <c r="C70" s="53" t="s">
        <v>8</v>
      </c>
      <c r="D70" s="53" t="s">
        <v>73</v>
      </c>
      <c r="E70" s="53" t="s">
        <v>74</v>
      </c>
      <c r="F70" s="53" t="s">
        <v>16</v>
      </c>
      <c r="G70" s="54" t="s">
        <v>9</v>
      </c>
      <c r="H70" s="84"/>
      <c r="I70" s="84"/>
      <c r="J70" s="84"/>
      <c r="K70" s="84"/>
      <c r="L70" s="84"/>
      <c r="M70" s="84"/>
      <c r="N70" s="84"/>
    </row>
    <row r="71" spans="1:14" ht="26" x14ac:dyDescent="0.2">
      <c r="A71" s="55" t="str">
        <f>'Results by country'!A77</f>
        <v>Nutrition</v>
      </c>
      <c r="B71" s="32" t="str">
        <f>'Results by country'!B77</f>
        <v># of children admitted for SAM treatment</v>
      </c>
      <c r="C71" s="17" t="str">
        <f>'Results by country'!C77</f>
        <v>Angola</v>
      </c>
      <c r="D71" s="17">
        <f>'Results by country'!D77</f>
        <v>5000</v>
      </c>
      <c r="E71" s="17">
        <f>'Results by country'!E77</f>
        <v>0</v>
      </c>
      <c r="F71" s="17">
        <f>IF(D71-E71&lt;0,0,D71-E71)</f>
        <v>5000</v>
      </c>
      <c r="G71" s="56">
        <f>'Results by country'!G77</f>
        <v>0</v>
      </c>
      <c r="H71" s="83"/>
      <c r="I71" s="83"/>
      <c r="J71" s="83"/>
      <c r="K71" s="83"/>
      <c r="L71" s="83"/>
      <c r="M71" s="83"/>
      <c r="N71" s="83"/>
    </row>
    <row r="72" spans="1:14" ht="26" x14ac:dyDescent="0.2">
      <c r="A72" s="57" t="str">
        <f>'Results by country'!A78</f>
        <v>Health</v>
      </c>
      <c r="B72" s="34" t="str">
        <f>'Results by country'!B78</f>
        <v># of children vaccinated against measles</v>
      </c>
      <c r="C72" s="49" t="str">
        <f>'Results by country'!C78</f>
        <v>Angola</v>
      </c>
      <c r="D72" s="15">
        <f>'Results by country'!D78</f>
        <v>12000</v>
      </c>
      <c r="E72" s="15">
        <f>'Results by country'!E78</f>
        <v>2343</v>
      </c>
      <c r="F72" s="17">
        <f>IF(D72-E72&lt;0,0,D72-E72)</f>
        <v>9657</v>
      </c>
      <c r="G72" s="58">
        <f>'Results by country'!G78</f>
        <v>0.19525000000000001</v>
      </c>
      <c r="H72" s="83"/>
      <c r="I72" s="83"/>
      <c r="J72" s="83"/>
      <c r="K72" s="83"/>
      <c r="L72" s="83"/>
      <c r="M72" s="83"/>
      <c r="N72" s="83"/>
    </row>
    <row r="73" spans="1:14" ht="26" x14ac:dyDescent="0.2">
      <c r="A73" s="59" t="str">
        <f>'Results by country'!A79</f>
        <v>Education</v>
      </c>
      <c r="B73" s="36" t="str">
        <f>'Results by country'!B79</f>
        <v xml:space="preserve"># of children accessing quality education </v>
      </c>
      <c r="C73" s="44" t="str">
        <f>'Results by country'!C79</f>
        <v>Angola</v>
      </c>
      <c r="D73" s="44">
        <f>'Results by country'!D79</f>
        <v>12250</v>
      </c>
      <c r="E73" s="44">
        <f>'Results by country'!E79</f>
        <v>0</v>
      </c>
      <c r="F73" s="17">
        <f>IF(D73-E73&lt;0,0,D73-E73)</f>
        <v>12250</v>
      </c>
      <c r="G73" s="60">
        <f>'Results by country'!G79</f>
        <v>0</v>
      </c>
      <c r="H73" s="83"/>
      <c r="I73" s="83"/>
      <c r="J73" s="83"/>
      <c r="K73" s="83"/>
      <c r="L73" s="83"/>
      <c r="M73" s="83"/>
      <c r="N73" s="83"/>
    </row>
    <row r="74" spans="1:14" ht="26" x14ac:dyDescent="0.2">
      <c r="A74" s="61" t="str">
        <f>'Results by country'!A80</f>
        <v>WASH</v>
      </c>
      <c r="B74" s="38" t="str">
        <f>'Results by country'!B80</f>
        <v># of people with access to safe water</v>
      </c>
      <c r="C74" s="45" t="str">
        <f>'Results by country'!C80</f>
        <v>Angola</v>
      </c>
      <c r="D74" s="11">
        <f>'Results by country'!D80</f>
        <v>35411</v>
      </c>
      <c r="E74" s="11">
        <f>'Results by country'!E80</f>
        <v>15637</v>
      </c>
      <c r="F74" s="17">
        <f>IF(D74-E74&lt;0,0,D74-E74)</f>
        <v>19774</v>
      </c>
      <c r="G74" s="62">
        <f>'Results by country'!G80</f>
        <v>0.44158594786930616</v>
      </c>
      <c r="H74" s="83"/>
      <c r="I74" s="83"/>
      <c r="J74" s="83"/>
      <c r="K74" s="83"/>
      <c r="L74" s="83"/>
      <c r="M74" s="83"/>
      <c r="N74" s="83"/>
    </row>
    <row r="75" spans="1:14" ht="40" thickBot="1" x14ac:dyDescent="0.25">
      <c r="A75" s="63" t="str">
        <f>'Results by country'!A81</f>
        <v>CP</v>
      </c>
      <c r="B75" s="64" t="str">
        <f>'Results by country'!B81</f>
        <v># of UASC receiving appropriate alternative care services</v>
      </c>
      <c r="C75" s="65" t="str">
        <f>'Results by country'!C81</f>
        <v>Angola</v>
      </c>
      <c r="D75" s="66">
        <f>'Results by country'!D81</f>
        <v>320</v>
      </c>
      <c r="E75" s="67">
        <f>'Results by country'!E81</f>
        <v>0</v>
      </c>
      <c r="F75" s="79">
        <f>IF(D75-E75&lt;0,0,D75-E75)</f>
        <v>320</v>
      </c>
      <c r="G75" s="68">
        <f>'Results by country'!G81</f>
        <v>0</v>
      </c>
      <c r="H75" s="83"/>
      <c r="I75" s="83"/>
      <c r="J75" s="83"/>
      <c r="K75" s="83"/>
      <c r="L75" s="83"/>
      <c r="M75" s="83"/>
      <c r="N75" s="83"/>
    </row>
    <row r="76" spans="1:14" ht="16" thickBot="1" x14ac:dyDescent="0.25"/>
    <row r="77" spans="1:14" ht="65" x14ac:dyDescent="0.2">
      <c r="A77" s="52" t="s">
        <v>10</v>
      </c>
      <c r="B77" s="53" t="s">
        <v>8</v>
      </c>
      <c r="C77" s="53" t="s">
        <v>7</v>
      </c>
      <c r="D77" s="53" t="s">
        <v>73</v>
      </c>
      <c r="E77" s="53" t="s">
        <v>74</v>
      </c>
      <c r="F77" s="53" t="s">
        <v>16</v>
      </c>
      <c r="G77" s="54" t="s">
        <v>9</v>
      </c>
      <c r="H77" s="51"/>
      <c r="I77" s="51"/>
      <c r="J77" s="51"/>
      <c r="K77" s="51"/>
      <c r="L77" s="51"/>
      <c r="M77" s="51"/>
      <c r="N77" s="51"/>
    </row>
    <row r="78" spans="1:14" ht="26" x14ac:dyDescent="0.2">
      <c r="A78" s="55" t="s">
        <v>3</v>
      </c>
      <c r="B78" s="32" t="s">
        <v>66</v>
      </c>
      <c r="C78" s="17" t="s">
        <v>59</v>
      </c>
      <c r="D78" s="17">
        <f>'Results by country'!D91</f>
        <v>400</v>
      </c>
      <c r="E78" s="17">
        <f>'Results by country'!E91</f>
        <v>273</v>
      </c>
      <c r="F78" s="17">
        <f>IF(D78-E78&lt;0,0,D78-E78)</f>
        <v>127</v>
      </c>
      <c r="G78" s="56">
        <f>E78/D78</f>
        <v>0.6825</v>
      </c>
      <c r="H78" s="51"/>
      <c r="I78" s="51"/>
      <c r="J78" s="51"/>
      <c r="K78" s="51"/>
      <c r="L78" s="51"/>
      <c r="M78" s="51"/>
      <c r="N78" s="51"/>
    </row>
    <row r="79" spans="1:14" ht="26" x14ac:dyDescent="0.2">
      <c r="A79" s="57" t="s">
        <v>4</v>
      </c>
      <c r="B79" s="34" t="s">
        <v>23</v>
      </c>
      <c r="C79" s="213" t="s">
        <v>59</v>
      </c>
      <c r="D79" s="15">
        <f>'Results by country'!D92</f>
        <v>11875</v>
      </c>
      <c r="E79" s="15">
        <f>'Results by country'!E92</f>
        <v>6690</v>
      </c>
      <c r="F79" s="15">
        <f>IF(D79-E79&lt;0,0,D79-E79)</f>
        <v>5185</v>
      </c>
      <c r="G79" s="58">
        <f>E79/D79</f>
        <v>0.56336842105263163</v>
      </c>
      <c r="H79" s="51"/>
      <c r="I79" s="51"/>
      <c r="J79" s="51"/>
      <c r="K79" s="51"/>
      <c r="L79" s="51"/>
      <c r="M79" s="51"/>
      <c r="N79" s="51"/>
    </row>
    <row r="80" spans="1:14" ht="26" x14ac:dyDescent="0.2">
      <c r="A80" s="59" t="s">
        <v>11</v>
      </c>
      <c r="B80" s="36" t="s">
        <v>24</v>
      </c>
      <c r="C80" s="214" t="s">
        <v>59</v>
      </c>
      <c r="D80" s="214">
        <f>'Results by country'!D93</f>
        <v>3540</v>
      </c>
      <c r="E80" s="214">
        <f>'Results by country'!E93</f>
        <v>1422</v>
      </c>
      <c r="F80" s="214">
        <f>IF(D80-E80&lt;0,0,D80-E80)</f>
        <v>2118</v>
      </c>
      <c r="G80" s="60">
        <f>E80/D80</f>
        <v>0.40169491525423728</v>
      </c>
      <c r="H80" s="51"/>
      <c r="I80" s="51"/>
      <c r="J80" s="51"/>
      <c r="K80" s="51"/>
      <c r="L80" s="51"/>
      <c r="M80" s="51"/>
      <c r="N80" s="51"/>
    </row>
    <row r="81" spans="1:14" ht="26" x14ac:dyDescent="0.2">
      <c r="A81" s="61" t="s">
        <v>5</v>
      </c>
      <c r="B81" s="38" t="s">
        <v>67</v>
      </c>
      <c r="C81" s="215" t="s">
        <v>59</v>
      </c>
      <c r="D81" s="11">
        <f>'Results by country'!D94</f>
        <v>15000</v>
      </c>
      <c r="E81" s="11">
        <f>'Results by country'!E94</f>
        <v>9253</v>
      </c>
      <c r="F81" s="11">
        <f>IF(D81-E81&lt;0,0,D81-E81)</f>
        <v>5747</v>
      </c>
      <c r="G81" s="62">
        <f>E81/D81</f>
        <v>0.61686666666666667</v>
      </c>
      <c r="H81" s="51"/>
      <c r="I81" s="51"/>
      <c r="J81" s="51"/>
      <c r="K81" s="51"/>
      <c r="L81" s="51"/>
      <c r="M81" s="51"/>
      <c r="N81" s="51"/>
    </row>
    <row r="82" spans="1:14" ht="40" thickBot="1" x14ac:dyDescent="0.25">
      <c r="A82" s="63" t="s">
        <v>6</v>
      </c>
      <c r="B82" s="64" t="s">
        <v>82</v>
      </c>
      <c r="C82" s="65" t="s">
        <v>59</v>
      </c>
      <c r="D82" s="66">
        <f>'Results by country'!D95</f>
        <v>250</v>
      </c>
      <c r="E82" s="67">
        <f>'Results by country'!E95</f>
        <v>98</v>
      </c>
      <c r="F82" s="67">
        <f>IF(D82-E82&lt;0,0,D82-E82)</f>
        <v>152</v>
      </c>
      <c r="G82" s="68">
        <f>E82/D82</f>
        <v>0.39200000000000002</v>
      </c>
      <c r="H82" s="51"/>
      <c r="I82" s="51"/>
      <c r="J82" s="51"/>
      <c r="K82" s="51"/>
      <c r="L82" s="51"/>
      <c r="M82" s="51"/>
      <c r="N82" s="51"/>
    </row>
  </sheetData>
  <mergeCells count="31">
    <mergeCell ref="B52:B55"/>
    <mergeCell ref="A11:G11"/>
    <mergeCell ref="A22:A25"/>
    <mergeCell ref="B22:B25"/>
    <mergeCell ref="A12:A15"/>
    <mergeCell ref="B12:B15"/>
    <mergeCell ref="A17:A20"/>
    <mergeCell ref="B17:B20"/>
    <mergeCell ref="A16:G16"/>
    <mergeCell ref="A21:G21"/>
    <mergeCell ref="A2:A5"/>
    <mergeCell ref="B2:B5"/>
    <mergeCell ref="A7:A10"/>
    <mergeCell ref="B7:B10"/>
    <mergeCell ref="A6:G6"/>
    <mergeCell ref="A69:N69"/>
    <mergeCell ref="A61:G61"/>
    <mergeCell ref="A35:N35"/>
    <mergeCell ref="A41:G41"/>
    <mergeCell ref="A46:G46"/>
    <mergeCell ref="A51:G51"/>
    <mergeCell ref="A56:G56"/>
    <mergeCell ref="A37:A40"/>
    <mergeCell ref="B37:B40"/>
    <mergeCell ref="A42:A45"/>
    <mergeCell ref="B42:B45"/>
    <mergeCell ref="A57:A60"/>
    <mergeCell ref="B57:B60"/>
    <mergeCell ref="A47:A50"/>
    <mergeCell ref="B47:B50"/>
    <mergeCell ref="A52:A55"/>
  </mergeCells>
  <conditionalFormatting sqref="G2:G5 G17:G20 G12:G15 G22:G25 G7:G10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{AE2DFC54-365A-423F-BFC2-BA8301BB1D53}</x14:id>
        </ext>
      </extLst>
    </cfRule>
  </conditionalFormatting>
  <conditionalFormatting sqref="G42:G45 G37:G40 G52:G55 G47:G50 G57:G60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{6F9849C4-65D1-4E44-905D-297C98E0BD88}</x14:id>
        </ext>
      </extLst>
    </cfRule>
  </conditionalFormatting>
  <conditionalFormatting sqref="G71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{AF68DDCA-8D43-4365-8D30-D1B4BEAE9BAD}</x14:id>
        </ext>
      </extLst>
    </cfRule>
  </conditionalFormatting>
  <conditionalFormatting sqref="G75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{673CE682-E581-4FC4-89F1-19BDFCF2DEC7}</x14:id>
        </ext>
      </extLst>
    </cfRule>
  </conditionalFormatting>
  <conditionalFormatting sqref="G73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{98DC11A2-B894-4EC0-B617-28467CA5A722}</x14:id>
        </ext>
      </extLst>
    </cfRule>
  </conditionalFormatting>
  <conditionalFormatting sqref="G7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{E0BBE1AF-1B1A-4632-9680-7C91AE4009BD}</x14:id>
        </ext>
      </extLst>
    </cfRule>
  </conditionalFormatting>
  <conditionalFormatting sqref="G74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{A44E8E52-F7E9-4595-AE55-2296A7744877}</x14:id>
        </ext>
      </extLst>
    </cfRule>
  </conditionalFormatting>
  <conditionalFormatting sqref="G78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{80EAA42C-1D77-4876-AABB-6164519FB8A3}</x14:id>
        </ext>
      </extLst>
    </cfRule>
  </conditionalFormatting>
  <conditionalFormatting sqref="G82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{51F0172A-6C63-476E-B9CB-4AE9E5ECC082}</x14:id>
        </ext>
      </extLst>
    </cfRule>
  </conditionalFormatting>
  <conditionalFormatting sqref="G8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{4C4BAE82-1FA4-4D08-ABB2-D2E28D350925}</x14:id>
        </ext>
      </extLst>
    </cfRule>
  </conditionalFormatting>
  <conditionalFormatting sqref="G79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{468328AC-D82B-4232-A5AA-92BB34AA0683}</x14:id>
        </ext>
      </extLst>
    </cfRule>
  </conditionalFormatting>
  <conditionalFormatting sqref="G81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{FF3DE3B6-44AF-4574-97EB-79B491C000F8}</x14:id>
        </ext>
      </extLst>
    </cfRule>
  </conditionalFormatting>
  <pageMargins left="0.7" right="0.7" top="0.75" bottom="0.75" header="0.3" footer="0.3"/>
  <pageSetup paperSize="9"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DFC54-365A-423F-BFC2-BA8301BB1D5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G2:G5 G17:G20 G12:G15 G22:G25 G7:G10</xm:sqref>
        </x14:conditionalFormatting>
        <x14:conditionalFormatting xmlns:xm="http://schemas.microsoft.com/office/excel/2006/main">
          <x14:cfRule type="dataBar" id="{6F9849C4-65D1-4E44-905D-297C98E0BD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G42:G45 G37:G40 G52:G55 G47:G50 G57:G60</xm:sqref>
        </x14:conditionalFormatting>
        <x14:conditionalFormatting xmlns:xm="http://schemas.microsoft.com/office/excel/2006/main">
          <x14:cfRule type="dataBar" id="{AF68DDCA-8D43-4365-8D30-D1B4BEAE9B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73CE682-E581-4FC4-89F1-19BDFCF2DEC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98DC11A2-B894-4EC0-B617-28467CA5A7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0BBE1AF-1B1A-4632-9680-7C91AE4009B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A44E8E52-F7E9-4595-AE55-2296A774487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80EAA42C-1D77-4876-AABB-6164519FB8A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51F0172A-6C63-476E-B9CB-4AE9E5ECC08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</xm:sqref>
        </x14:conditionalFormatting>
        <x14:conditionalFormatting xmlns:xm="http://schemas.microsoft.com/office/excel/2006/main">
          <x14:cfRule type="dataBar" id="{4C4BAE82-1FA4-4D08-ABB2-D2E28D35092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468328AC-D82B-4232-A5AA-92BB34AA068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FF3DE3B6-44AF-4574-97EB-79B491C000F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BD0FF"/>
    <pageSetUpPr fitToPage="1"/>
  </sheetPr>
  <dimension ref="A1:U116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8.5" style="1" bestFit="1" customWidth="1"/>
    <col min="2" max="2" width="24" style="1" customWidth="1"/>
    <col min="3" max="3" width="11.33203125" style="1" customWidth="1"/>
    <col min="4" max="4" width="12.1640625" style="1" customWidth="1"/>
    <col min="5" max="5" width="10.83203125" style="1" bestFit="1" customWidth="1"/>
    <col min="6" max="6" width="8.83203125" style="2" bestFit="1" customWidth="1"/>
    <col min="7" max="7" width="11.83203125" bestFit="1" customWidth="1"/>
    <col min="16" max="17" width="11.1640625" bestFit="1" customWidth="1"/>
    <col min="22" max="22" width="9.5" bestFit="1" customWidth="1"/>
    <col min="24" max="24" width="9.83203125" bestFit="1" customWidth="1"/>
  </cols>
  <sheetData>
    <row r="1" spans="1:7" s="4" customFormat="1" ht="78" x14ac:dyDescent="0.2">
      <c r="A1" s="6" t="s">
        <v>10</v>
      </c>
      <c r="B1" s="6" t="s">
        <v>8</v>
      </c>
      <c r="C1" s="6" t="s">
        <v>7</v>
      </c>
      <c r="D1" s="6" t="s">
        <v>20</v>
      </c>
      <c r="E1" s="6" t="s">
        <v>19</v>
      </c>
      <c r="F1" s="6" t="s">
        <v>16</v>
      </c>
      <c r="G1" s="6" t="s">
        <v>9</v>
      </c>
    </row>
    <row r="2" spans="1:7" s="5" customFormat="1" ht="26" x14ac:dyDescent="0.15">
      <c r="A2" s="31" t="s">
        <v>3</v>
      </c>
      <c r="B2" s="32" t="s">
        <v>66</v>
      </c>
      <c r="C2" s="47" t="s">
        <v>48</v>
      </c>
      <c r="D2" s="29">
        <f t="shared" ref="D2:F6" si="0">D9+D16+D23</f>
        <v>25645</v>
      </c>
      <c r="E2" s="17">
        <f t="shared" si="0"/>
        <v>4284</v>
      </c>
      <c r="F2" s="17">
        <f t="shared" si="0"/>
        <v>21361</v>
      </c>
      <c r="G2" s="19">
        <f>E2/D2</f>
        <v>0.16705010723337882</v>
      </c>
    </row>
    <row r="3" spans="1:7" s="5" customFormat="1" ht="26" x14ac:dyDescent="0.15">
      <c r="A3" s="33" t="s">
        <v>4</v>
      </c>
      <c r="B3" s="34" t="s">
        <v>23</v>
      </c>
      <c r="C3" s="15" t="s">
        <v>48</v>
      </c>
      <c r="D3" s="15">
        <f t="shared" si="0"/>
        <v>640752</v>
      </c>
      <c r="E3" s="15">
        <f t="shared" si="0"/>
        <v>45171</v>
      </c>
      <c r="F3" s="15">
        <f t="shared" si="0"/>
        <v>595581</v>
      </c>
      <c r="G3" s="19">
        <f>E3/D3</f>
        <v>7.0496853696906142E-2</v>
      </c>
    </row>
    <row r="4" spans="1:7" s="5" customFormat="1" ht="26" x14ac:dyDescent="0.15">
      <c r="A4" s="35" t="s">
        <v>11</v>
      </c>
      <c r="B4" s="36" t="s">
        <v>24</v>
      </c>
      <c r="C4" s="69" t="s">
        <v>48</v>
      </c>
      <c r="D4" s="26">
        <f t="shared" si="0"/>
        <v>189570</v>
      </c>
      <c r="E4" s="26">
        <f t="shared" si="0"/>
        <v>124240</v>
      </c>
      <c r="F4" s="26">
        <f t="shared" si="0"/>
        <v>65330</v>
      </c>
      <c r="G4" s="19">
        <f>E4/D4</f>
        <v>0.65537796064778187</v>
      </c>
    </row>
    <row r="5" spans="1:7" s="5" customFormat="1" ht="26" x14ac:dyDescent="0.15">
      <c r="A5" s="37" t="s">
        <v>5</v>
      </c>
      <c r="B5" s="38" t="s">
        <v>67</v>
      </c>
      <c r="C5" s="11" t="s">
        <v>48</v>
      </c>
      <c r="D5" s="28">
        <f t="shared" si="0"/>
        <v>386300</v>
      </c>
      <c r="E5" s="11">
        <f t="shared" si="0"/>
        <v>67561</v>
      </c>
      <c r="F5" s="11">
        <f>F12+F19+F26</f>
        <v>318739</v>
      </c>
      <c r="G5" s="19">
        <f>E5/D5</f>
        <v>0.1748925705410303</v>
      </c>
    </row>
    <row r="6" spans="1:7" s="5" customFormat="1" ht="26" x14ac:dyDescent="0.15">
      <c r="A6" s="39" t="s">
        <v>6</v>
      </c>
      <c r="B6" s="40" t="s">
        <v>26</v>
      </c>
      <c r="C6" s="7" t="s">
        <v>48</v>
      </c>
      <c r="D6" s="7">
        <f t="shared" si="0"/>
        <v>41144</v>
      </c>
      <c r="E6" s="7">
        <f t="shared" si="0"/>
        <v>8700</v>
      </c>
      <c r="F6" s="7">
        <f t="shared" si="0"/>
        <v>32444</v>
      </c>
      <c r="G6" s="19">
        <f>E6/D6</f>
        <v>0.2114524596538985</v>
      </c>
    </row>
    <row r="7" spans="1:7" ht="16" thickBot="1" x14ac:dyDescent="0.25"/>
    <row r="8" spans="1:7" s="4" customFormat="1" ht="78" x14ac:dyDescent="0.2">
      <c r="A8" s="6" t="s">
        <v>10</v>
      </c>
      <c r="B8" s="6" t="s">
        <v>8</v>
      </c>
      <c r="C8" s="6" t="s">
        <v>7</v>
      </c>
      <c r="D8" s="6" t="s">
        <v>69</v>
      </c>
      <c r="E8" s="6" t="s">
        <v>70</v>
      </c>
      <c r="F8" s="6" t="s">
        <v>16</v>
      </c>
      <c r="G8" s="6" t="s">
        <v>9</v>
      </c>
    </row>
    <row r="9" spans="1:7" s="5" customFormat="1" ht="26" x14ac:dyDescent="0.15">
      <c r="A9" s="31" t="s">
        <v>3</v>
      </c>
      <c r="B9" s="32" t="s">
        <v>66</v>
      </c>
      <c r="C9" s="17" t="s">
        <v>0</v>
      </c>
      <c r="D9" s="29">
        <v>8000</v>
      </c>
      <c r="E9" s="17">
        <v>2085</v>
      </c>
      <c r="F9" s="17">
        <f>IF(D9-E9&lt;0,0,D9-E9)</f>
        <v>5915</v>
      </c>
      <c r="G9" s="19">
        <f>E9/D9</f>
        <v>0.260625</v>
      </c>
    </row>
    <row r="10" spans="1:7" s="5" customFormat="1" ht="26" x14ac:dyDescent="0.15">
      <c r="A10" s="33" t="s">
        <v>4</v>
      </c>
      <c r="B10" s="34" t="s">
        <v>23</v>
      </c>
      <c r="C10" s="30" t="s">
        <v>0</v>
      </c>
      <c r="D10" s="15">
        <v>74752</v>
      </c>
      <c r="E10" s="15">
        <v>10255</v>
      </c>
      <c r="F10" s="17">
        <f>IF(D10-E10&lt;0,0,D10-E10)</f>
        <v>64497</v>
      </c>
      <c r="G10" s="16">
        <f>E10/D10</f>
        <v>0.13718696489726026</v>
      </c>
    </row>
    <row r="11" spans="1:7" s="5" customFormat="1" ht="26" x14ac:dyDescent="0.15">
      <c r="A11" s="35" t="s">
        <v>11</v>
      </c>
      <c r="B11" s="36" t="s">
        <v>24</v>
      </c>
      <c r="C11" s="26" t="s">
        <v>0</v>
      </c>
      <c r="D11" s="26">
        <v>50000</v>
      </c>
      <c r="E11" s="26">
        <v>45584</v>
      </c>
      <c r="F11" s="26">
        <f>IF(D11-E11&lt;0,0,D11-E11)</f>
        <v>4416</v>
      </c>
      <c r="G11" s="14">
        <f>E11/D11</f>
        <v>0.91168000000000005</v>
      </c>
    </row>
    <row r="12" spans="1:7" s="5" customFormat="1" ht="26" x14ac:dyDescent="0.15">
      <c r="A12" s="37" t="s">
        <v>5</v>
      </c>
      <c r="B12" s="38" t="s">
        <v>67</v>
      </c>
      <c r="C12" s="27" t="s">
        <v>0</v>
      </c>
      <c r="D12" s="28">
        <v>3300</v>
      </c>
      <c r="E12" s="11">
        <v>0</v>
      </c>
      <c r="F12" s="11">
        <f>IF(D12-E12&lt;0,0,D12-E12)</f>
        <v>3300</v>
      </c>
      <c r="G12" s="14">
        <f>E12/D12</f>
        <v>0</v>
      </c>
    </row>
    <row r="13" spans="1:7" s="5" customFormat="1" ht="26" x14ac:dyDescent="0.15">
      <c r="A13" s="39" t="s">
        <v>6</v>
      </c>
      <c r="B13" s="40" t="s">
        <v>26</v>
      </c>
      <c r="C13" s="24" t="s">
        <v>0</v>
      </c>
      <c r="D13" s="25">
        <v>11470</v>
      </c>
      <c r="E13" s="7">
        <v>201</v>
      </c>
      <c r="F13" s="7">
        <f>IF(D13-E13&lt;0,0,D13-E13)</f>
        <v>11269</v>
      </c>
      <c r="G13" s="8">
        <f>E13/D13</f>
        <v>1.7523975588491718E-2</v>
      </c>
    </row>
    <row r="14" spans="1:7" ht="16" thickBot="1" x14ac:dyDescent="0.25"/>
    <row r="15" spans="1:7" s="4" customFormat="1" ht="78" x14ac:dyDescent="0.2">
      <c r="A15" s="6" t="s">
        <v>10</v>
      </c>
      <c r="B15" s="6" t="s">
        <v>8</v>
      </c>
      <c r="C15" s="6" t="s">
        <v>7</v>
      </c>
      <c r="D15" s="6" t="s">
        <v>69</v>
      </c>
      <c r="E15" s="6" t="s">
        <v>70</v>
      </c>
      <c r="F15" s="6" t="s">
        <v>16</v>
      </c>
      <c r="G15" s="6" t="s">
        <v>9</v>
      </c>
    </row>
    <row r="16" spans="1:7" s="5" customFormat="1" ht="26" x14ac:dyDescent="0.15">
      <c r="A16" s="31" t="s">
        <v>3</v>
      </c>
      <c r="B16" s="32" t="s">
        <v>66</v>
      </c>
      <c r="C16" s="17" t="s">
        <v>1</v>
      </c>
      <c r="D16" s="29">
        <v>6000</v>
      </c>
      <c r="E16" s="17">
        <v>1643</v>
      </c>
      <c r="F16" s="17">
        <f>IF(D16-E16&lt;0,0,D16-E16)</f>
        <v>4357</v>
      </c>
      <c r="G16" s="19">
        <f>E16/D16</f>
        <v>0.27383333333333332</v>
      </c>
    </row>
    <row r="17" spans="1:7" s="5" customFormat="1" ht="39" x14ac:dyDescent="0.15">
      <c r="A17" s="31" t="s">
        <v>4</v>
      </c>
      <c r="B17" s="32" t="s">
        <v>80</v>
      </c>
      <c r="C17" s="17" t="s">
        <v>1</v>
      </c>
      <c r="D17" s="144">
        <v>14000</v>
      </c>
      <c r="E17" s="17">
        <v>3876</v>
      </c>
      <c r="F17" s="17">
        <f>IF(D17-E17&lt;0,0,D17-E17)</f>
        <v>10124</v>
      </c>
      <c r="G17" s="19">
        <f>E17/D17</f>
        <v>0.27685714285714286</v>
      </c>
    </row>
    <row r="18" spans="1:7" s="5" customFormat="1" ht="26" x14ac:dyDescent="0.15">
      <c r="A18" s="35" t="s">
        <v>11</v>
      </c>
      <c r="B18" s="36" t="s">
        <v>24</v>
      </c>
      <c r="C18" s="26" t="s">
        <v>1</v>
      </c>
      <c r="D18" s="26">
        <v>53000</v>
      </c>
      <c r="E18" s="26">
        <v>45254</v>
      </c>
      <c r="F18" s="26">
        <f>IF(D18-E18&lt;0,0,D18-E18)</f>
        <v>7746</v>
      </c>
      <c r="G18" s="14">
        <f>E18/D18</f>
        <v>0.85384905660377364</v>
      </c>
    </row>
    <row r="19" spans="1:7" s="5" customFormat="1" ht="26" x14ac:dyDescent="0.15">
      <c r="A19" s="37" t="s">
        <v>5</v>
      </c>
      <c r="B19" s="38" t="s">
        <v>67</v>
      </c>
      <c r="C19" s="27" t="s">
        <v>1</v>
      </c>
      <c r="D19" s="28">
        <v>292000</v>
      </c>
      <c r="E19" s="11">
        <v>34768</v>
      </c>
      <c r="F19" s="11">
        <f>IF(D19-E19&lt;0,0,D19-E19)</f>
        <v>257232</v>
      </c>
      <c r="G19" s="12">
        <f>E19/D19</f>
        <v>0.11906849315068493</v>
      </c>
    </row>
    <row r="20" spans="1:7" s="5" customFormat="1" ht="26" x14ac:dyDescent="0.15">
      <c r="A20" s="39" t="s">
        <v>6</v>
      </c>
      <c r="B20" s="40" t="s">
        <v>26</v>
      </c>
      <c r="C20" s="24" t="s">
        <v>1</v>
      </c>
      <c r="D20" s="25">
        <v>18641</v>
      </c>
      <c r="E20" s="7">
        <v>3525</v>
      </c>
      <c r="F20" s="7">
        <f>IF(D20-E20&lt;0,0,D20-E20)</f>
        <v>15116</v>
      </c>
      <c r="G20" s="8">
        <f>E20/D20</f>
        <v>0.18909929724800173</v>
      </c>
    </row>
    <row r="21" spans="1:7" ht="16" thickBot="1" x14ac:dyDescent="0.25"/>
    <row r="22" spans="1:7" s="4" customFormat="1" ht="78" x14ac:dyDescent="0.2">
      <c r="A22" s="6" t="s">
        <v>10</v>
      </c>
      <c r="B22" s="6" t="s">
        <v>8</v>
      </c>
      <c r="C22" s="6" t="s">
        <v>7</v>
      </c>
      <c r="D22" s="6" t="s">
        <v>69</v>
      </c>
      <c r="E22" s="6" t="s">
        <v>70</v>
      </c>
      <c r="F22" s="6" t="s">
        <v>16</v>
      </c>
      <c r="G22" s="6" t="s">
        <v>9</v>
      </c>
    </row>
    <row r="23" spans="1:7" s="5" customFormat="1" ht="26" x14ac:dyDescent="0.15">
      <c r="A23" s="31" t="s">
        <v>3</v>
      </c>
      <c r="B23" s="32" t="s">
        <v>66</v>
      </c>
      <c r="C23" s="17" t="s">
        <v>2</v>
      </c>
      <c r="D23" s="17">
        <v>11645</v>
      </c>
      <c r="E23" s="17">
        <v>556</v>
      </c>
      <c r="F23" s="17">
        <f>IF(D23-E23&lt;0,0,D23-E23)</f>
        <v>11089</v>
      </c>
      <c r="G23" s="19">
        <f>E23/D23</f>
        <v>4.7745813653928722E-2</v>
      </c>
    </row>
    <row r="24" spans="1:7" s="5" customFormat="1" ht="26" x14ac:dyDescent="0.15">
      <c r="A24" s="33" t="s">
        <v>4</v>
      </c>
      <c r="B24" s="34" t="s">
        <v>23</v>
      </c>
      <c r="C24" s="30" t="s">
        <v>2</v>
      </c>
      <c r="D24" s="15">
        <v>552000</v>
      </c>
      <c r="E24" s="15">
        <v>31040</v>
      </c>
      <c r="F24" s="15">
        <f>IF(D24-E24&lt;0,0,D24-E24)</f>
        <v>520960</v>
      </c>
      <c r="G24" s="16">
        <f>E24/D24</f>
        <v>5.6231884057971013E-2</v>
      </c>
    </row>
    <row r="25" spans="1:7" s="5" customFormat="1" ht="26" x14ac:dyDescent="0.15">
      <c r="A25" s="35" t="s">
        <v>11</v>
      </c>
      <c r="B25" s="36" t="s">
        <v>24</v>
      </c>
      <c r="C25" s="26" t="s">
        <v>2</v>
      </c>
      <c r="D25" s="26">
        <v>86570</v>
      </c>
      <c r="E25" s="26">
        <v>33402</v>
      </c>
      <c r="F25" s="26">
        <f>IF(D25-E25&lt;0,0,D25-E25)</f>
        <v>53168</v>
      </c>
      <c r="G25" s="14">
        <f>E25/D25</f>
        <v>0.38583805013284045</v>
      </c>
    </row>
    <row r="26" spans="1:7" s="5" customFormat="1" ht="26" x14ac:dyDescent="0.15">
      <c r="A26" s="37" t="s">
        <v>5</v>
      </c>
      <c r="B26" s="38" t="s">
        <v>67</v>
      </c>
      <c r="C26" s="27" t="s">
        <v>2</v>
      </c>
      <c r="D26" s="11">
        <v>91000</v>
      </c>
      <c r="E26" s="11">
        <v>32793</v>
      </c>
      <c r="F26" s="11">
        <f>IF(D26-E26&lt;0,0,D26-E26)</f>
        <v>58207</v>
      </c>
      <c r="G26" s="12">
        <f>E26/D26</f>
        <v>0.36036263736263735</v>
      </c>
    </row>
    <row r="27" spans="1:7" s="5" customFormat="1" ht="26" x14ac:dyDescent="0.15">
      <c r="A27" s="39" t="s">
        <v>6</v>
      </c>
      <c r="B27" s="40" t="s">
        <v>26</v>
      </c>
      <c r="C27" s="24" t="s">
        <v>2</v>
      </c>
      <c r="D27" s="25">
        <v>11033</v>
      </c>
      <c r="E27" s="7">
        <v>4974</v>
      </c>
      <c r="F27" s="7">
        <f>IF(D27-E27&lt;0,0,D27-E27)</f>
        <v>6059</v>
      </c>
      <c r="G27" s="8">
        <f>E27/D27</f>
        <v>0.45082933019124444</v>
      </c>
    </row>
    <row r="28" spans="1:7" s="72" customFormat="1" ht="16" thickBot="1" x14ac:dyDescent="0.25">
      <c r="A28" s="70"/>
      <c r="B28" s="70"/>
      <c r="C28" s="70"/>
      <c r="D28" s="70"/>
      <c r="E28" s="70"/>
      <c r="F28" s="71"/>
    </row>
    <row r="29" spans="1:7" s="4" customFormat="1" ht="78" x14ac:dyDescent="0.2">
      <c r="A29" s="6" t="s">
        <v>10</v>
      </c>
      <c r="B29" s="6" t="s">
        <v>8</v>
      </c>
      <c r="C29" s="6" t="s">
        <v>7</v>
      </c>
      <c r="D29" s="6" t="s">
        <v>71</v>
      </c>
      <c r="E29" s="6" t="s">
        <v>72</v>
      </c>
      <c r="F29" s="6" t="s">
        <v>16</v>
      </c>
      <c r="G29" s="6" t="s">
        <v>9</v>
      </c>
    </row>
    <row r="30" spans="1:7" s="5" customFormat="1" ht="26" x14ac:dyDescent="0.15">
      <c r="A30" s="31" t="s">
        <v>3</v>
      </c>
      <c r="B30" s="32" t="s">
        <v>66</v>
      </c>
      <c r="C30" s="47" t="s">
        <v>49</v>
      </c>
      <c r="D30" s="48">
        <f>D38+D46+D54</f>
        <v>3491</v>
      </c>
      <c r="E30" s="17">
        <f>E38+E46+E54+E77</f>
        <v>1366</v>
      </c>
      <c r="F30" s="17">
        <f t="shared" ref="F30:F35" si="1">IF(D30-E30&lt;0,0,D30-E30)</f>
        <v>2125</v>
      </c>
      <c r="G30" s="19">
        <f t="shared" ref="G30:G35" si="2">E30/D30</f>
        <v>0.39129189344027498</v>
      </c>
    </row>
    <row r="31" spans="1:7" s="5" customFormat="1" ht="26" x14ac:dyDescent="0.15">
      <c r="A31" s="33" t="s">
        <v>4</v>
      </c>
      <c r="B31" s="34" t="s">
        <v>23</v>
      </c>
      <c r="C31" s="15" t="s">
        <v>49</v>
      </c>
      <c r="D31" s="15">
        <f>D39+D47+D55</f>
        <v>58400</v>
      </c>
      <c r="E31" s="15">
        <f>E39+E47+E55+E62</f>
        <v>36737</v>
      </c>
      <c r="F31" s="15">
        <f t="shared" si="1"/>
        <v>21663</v>
      </c>
      <c r="G31" s="16">
        <f t="shared" si="2"/>
        <v>0.62905821917808225</v>
      </c>
    </row>
    <row r="32" spans="1:7" s="5" customFormat="1" ht="26" x14ac:dyDescent="0.15">
      <c r="A32" s="35" t="s">
        <v>11</v>
      </c>
      <c r="B32" s="36" t="s">
        <v>24</v>
      </c>
      <c r="C32" s="69" t="s">
        <v>49</v>
      </c>
      <c r="D32" s="44">
        <f>D40+D48+D56</f>
        <v>116061</v>
      </c>
      <c r="E32" s="44">
        <f>E40+E48+E56+E63</f>
        <v>100065</v>
      </c>
      <c r="F32" s="44">
        <f t="shared" si="1"/>
        <v>15996</v>
      </c>
      <c r="G32" s="14">
        <f t="shared" si="2"/>
        <v>0.86217592472923721</v>
      </c>
    </row>
    <row r="33" spans="1:19" s="5" customFormat="1" ht="26" x14ac:dyDescent="0.15">
      <c r="A33" s="37" t="s">
        <v>5</v>
      </c>
      <c r="B33" s="38" t="s">
        <v>67</v>
      </c>
      <c r="C33" s="11" t="s">
        <v>49</v>
      </c>
      <c r="D33" s="46">
        <f>D41+D57</f>
        <v>146250</v>
      </c>
      <c r="E33" s="11">
        <f>E41+E49+E57+E64</f>
        <v>140624</v>
      </c>
      <c r="F33" s="11">
        <f t="shared" si="1"/>
        <v>5626</v>
      </c>
      <c r="G33" s="12">
        <f t="shared" si="2"/>
        <v>0.96153162393162395</v>
      </c>
    </row>
    <row r="34" spans="1:19" s="5" customFormat="1" ht="39" x14ac:dyDescent="0.15">
      <c r="A34" s="39" t="s">
        <v>6</v>
      </c>
      <c r="B34" s="40" t="s">
        <v>81</v>
      </c>
      <c r="C34" s="7" t="s">
        <v>49</v>
      </c>
      <c r="D34" s="7">
        <f>D42+D50+D58</f>
        <v>47300</v>
      </c>
      <c r="E34" s="7">
        <f>E42+E50+E58</f>
        <v>32486</v>
      </c>
      <c r="F34" s="7">
        <f t="shared" si="1"/>
        <v>14814</v>
      </c>
      <c r="G34" s="146">
        <f>E34/D34</f>
        <v>0.6868076109936575</v>
      </c>
    </row>
    <row r="35" spans="1:19" s="5" customFormat="1" ht="39" x14ac:dyDescent="0.15">
      <c r="A35" s="39" t="s">
        <v>6</v>
      </c>
      <c r="B35" s="40" t="s">
        <v>82</v>
      </c>
      <c r="C35" s="7" t="s">
        <v>49</v>
      </c>
      <c r="D35" s="7">
        <f>D43+D51+D58</f>
        <v>5826</v>
      </c>
      <c r="E35" s="7">
        <f>E43+E51+E58</f>
        <v>5805</v>
      </c>
      <c r="F35" s="7">
        <f t="shared" si="1"/>
        <v>21</v>
      </c>
      <c r="G35" s="8">
        <f t="shared" si="2"/>
        <v>0.99639546858908346</v>
      </c>
    </row>
    <row r="36" spans="1:19" ht="16" thickBot="1" x14ac:dyDescent="0.25"/>
    <row r="37" spans="1:19" s="4" customFormat="1" ht="78" x14ac:dyDescent="0.2">
      <c r="A37" s="6" t="s">
        <v>10</v>
      </c>
      <c r="B37" s="6" t="s">
        <v>8</v>
      </c>
      <c r="C37" s="6" t="s">
        <v>7</v>
      </c>
      <c r="D37" s="6" t="s">
        <v>71</v>
      </c>
      <c r="E37" s="6" t="s">
        <v>72</v>
      </c>
      <c r="F37" s="6" t="s">
        <v>16</v>
      </c>
      <c r="G37" s="6" t="s">
        <v>9</v>
      </c>
    </row>
    <row r="38" spans="1:19" ht="26" x14ac:dyDescent="0.2">
      <c r="A38" s="55" t="s">
        <v>3</v>
      </c>
      <c r="B38" s="32" t="s">
        <v>66</v>
      </c>
      <c r="C38" s="17" t="s">
        <v>2</v>
      </c>
      <c r="D38" s="89">
        <v>1087</v>
      </c>
      <c r="E38" s="17">
        <v>239</v>
      </c>
      <c r="F38" s="17">
        <f t="shared" ref="F38:F43" si="3">IF(D38-E38&lt;0,0,D38-E38)</f>
        <v>848</v>
      </c>
      <c r="G38" s="56">
        <f t="shared" ref="G38:G43" si="4">E38/D38</f>
        <v>0.21987120515179392</v>
      </c>
      <c r="H38" s="51"/>
      <c r="I38" s="51"/>
      <c r="J38" s="51"/>
      <c r="K38" s="51"/>
      <c r="L38" s="51"/>
      <c r="M38" s="51"/>
      <c r="N38" s="51"/>
    </row>
    <row r="39" spans="1:19" ht="26" x14ac:dyDescent="0.2">
      <c r="A39" s="57" t="s">
        <v>4</v>
      </c>
      <c r="B39" s="34" t="s">
        <v>23</v>
      </c>
      <c r="C39" s="49" t="s">
        <v>2</v>
      </c>
      <c r="D39" s="15">
        <v>16500</v>
      </c>
      <c r="E39" s="15">
        <v>20853</v>
      </c>
      <c r="F39" s="15">
        <f t="shared" si="3"/>
        <v>0</v>
      </c>
      <c r="G39" s="58">
        <f t="shared" si="4"/>
        <v>1.2638181818181817</v>
      </c>
      <c r="H39" s="51"/>
      <c r="I39" s="51"/>
      <c r="J39" s="51"/>
      <c r="K39" s="51"/>
      <c r="L39" s="51"/>
      <c r="M39" s="51"/>
      <c r="N39" s="51"/>
    </row>
    <row r="40" spans="1:19" s="5" customFormat="1" ht="26" x14ac:dyDescent="0.15">
      <c r="A40" s="59" t="s">
        <v>11</v>
      </c>
      <c r="B40" s="36" t="s">
        <v>24</v>
      </c>
      <c r="C40" s="44" t="s">
        <v>2</v>
      </c>
      <c r="D40" s="69">
        <v>2061</v>
      </c>
      <c r="E40" s="90">
        <v>0</v>
      </c>
      <c r="F40" s="90">
        <f t="shared" si="3"/>
        <v>2061</v>
      </c>
      <c r="G40" s="60">
        <f t="shared" si="4"/>
        <v>0</v>
      </c>
    </row>
    <row r="41" spans="1:19" s="5" customFormat="1" ht="26" x14ac:dyDescent="0.15">
      <c r="A41" s="61" t="s">
        <v>5</v>
      </c>
      <c r="B41" s="38" t="s">
        <v>67</v>
      </c>
      <c r="C41" s="45" t="s">
        <v>2</v>
      </c>
      <c r="D41" s="11">
        <v>15000</v>
      </c>
      <c r="E41" s="11">
        <v>0</v>
      </c>
      <c r="F41" s="11">
        <f t="shared" si="3"/>
        <v>15000</v>
      </c>
      <c r="G41" s="62">
        <f t="shared" si="4"/>
        <v>0</v>
      </c>
    </row>
    <row r="42" spans="1:19" s="5" customFormat="1" ht="39" x14ac:dyDescent="0.15">
      <c r="A42" s="39" t="s">
        <v>6</v>
      </c>
      <c r="B42" s="40" t="s">
        <v>81</v>
      </c>
      <c r="C42" s="7" t="s">
        <v>2</v>
      </c>
      <c r="D42" s="7">
        <v>11800</v>
      </c>
      <c r="E42" s="7">
        <v>0</v>
      </c>
      <c r="F42" s="7">
        <f t="shared" si="3"/>
        <v>11800</v>
      </c>
      <c r="G42" s="146">
        <f t="shared" si="4"/>
        <v>0</v>
      </c>
    </row>
    <row r="43" spans="1:19" ht="40" thickBot="1" x14ac:dyDescent="0.25">
      <c r="A43" s="63" t="s">
        <v>6</v>
      </c>
      <c r="B43" s="64" t="s">
        <v>82</v>
      </c>
      <c r="C43" s="65" t="s">
        <v>2</v>
      </c>
      <c r="D43" s="66">
        <v>126</v>
      </c>
      <c r="E43" s="67">
        <v>19</v>
      </c>
      <c r="F43" s="67">
        <f t="shared" si="3"/>
        <v>107</v>
      </c>
      <c r="G43" s="68">
        <f t="shared" si="4"/>
        <v>0.15079365079365079</v>
      </c>
      <c r="H43" s="51"/>
      <c r="I43" s="51"/>
      <c r="J43" s="51"/>
      <c r="K43" s="51"/>
      <c r="L43" s="51"/>
      <c r="M43" s="51"/>
      <c r="N43" s="51"/>
    </row>
    <row r="44" spans="1:19" ht="16" thickBot="1" x14ac:dyDescent="0.25"/>
    <row r="45" spans="1:19" s="4" customFormat="1" ht="78" x14ac:dyDescent="0.2">
      <c r="A45" s="6" t="s">
        <v>10</v>
      </c>
      <c r="B45" s="6" t="s">
        <v>8</v>
      </c>
      <c r="C45" s="6" t="s">
        <v>7</v>
      </c>
      <c r="D45" s="6" t="s">
        <v>71</v>
      </c>
      <c r="E45" s="6" t="s">
        <v>72</v>
      </c>
      <c r="F45" s="6" t="s">
        <v>16</v>
      </c>
      <c r="G45" s="6" t="s">
        <v>9</v>
      </c>
    </row>
    <row r="46" spans="1:19" ht="26" x14ac:dyDescent="0.2">
      <c r="A46" s="55" t="s">
        <v>3</v>
      </c>
      <c r="B46" s="32" t="s">
        <v>66</v>
      </c>
      <c r="C46" s="17" t="s">
        <v>37</v>
      </c>
      <c r="D46" s="17">
        <v>300</v>
      </c>
      <c r="E46" s="17">
        <v>62</v>
      </c>
      <c r="F46" s="17">
        <f t="shared" ref="F46:F51" si="5">IF(D46-E46&lt;0,0,D46-E46)</f>
        <v>238</v>
      </c>
      <c r="G46" s="56">
        <f t="shared" ref="G46:G51" si="6">E46/D46</f>
        <v>0.20666666666666667</v>
      </c>
      <c r="H46" s="51"/>
      <c r="I46" s="51"/>
      <c r="J46" s="51"/>
      <c r="K46" s="51"/>
      <c r="L46" s="51"/>
      <c r="M46" s="51"/>
      <c r="N46" s="51"/>
      <c r="P46" s="174" t="s">
        <v>110</v>
      </c>
    </row>
    <row r="47" spans="1:19" ht="26" x14ac:dyDescent="0.2">
      <c r="A47" s="57" t="s">
        <v>4</v>
      </c>
      <c r="B47" s="34" t="s">
        <v>23</v>
      </c>
      <c r="C47" s="49" t="s">
        <v>37</v>
      </c>
      <c r="D47" s="15">
        <v>9900</v>
      </c>
      <c r="E47" s="15">
        <v>2097</v>
      </c>
      <c r="F47" s="15">
        <f t="shared" si="5"/>
        <v>7803</v>
      </c>
      <c r="G47" s="58">
        <f t="shared" si="6"/>
        <v>0.21181818181818182</v>
      </c>
      <c r="H47" s="51"/>
      <c r="I47" s="51"/>
      <c r="J47" s="51"/>
      <c r="K47" s="51"/>
      <c r="L47" s="51"/>
      <c r="M47" s="51"/>
      <c r="N47" s="51"/>
      <c r="P47" s="176">
        <v>400000</v>
      </c>
      <c r="Q47" s="176">
        <v>133785</v>
      </c>
      <c r="R47" s="2">
        <f>Q47/P47</f>
        <v>0.3344625</v>
      </c>
    </row>
    <row r="48" spans="1:19" s="5" customFormat="1" ht="26" x14ac:dyDescent="0.2">
      <c r="A48" s="59" t="s">
        <v>11</v>
      </c>
      <c r="B48" s="36" t="s">
        <v>24</v>
      </c>
      <c r="C48" s="44" t="s">
        <v>37</v>
      </c>
      <c r="D48" s="44">
        <v>19000</v>
      </c>
      <c r="E48" s="44">
        <v>22947</v>
      </c>
      <c r="F48" s="44">
        <f t="shared" si="5"/>
        <v>0</v>
      </c>
      <c r="G48" s="60">
        <f t="shared" si="6"/>
        <v>1.2077368421052632</v>
      </c>
      <c r="P48" s="182">
        <v>363611</v>
      </c>
      <c r="Q48" s="182">
        <v>53611</v>
      </c>
      <c r="R48" s="2">
        <f>Q48/P48</f>
        <v>0.14744053397724491</v>
      </c>
      <c r="S48"/>
    </row>
    <row r="49" spans="1:21" s="5" customFormat="1" ht="28" customHeight="1" x14ac:dyDescent="0.2">
      <c r="A49" s="61" t="s">
        <v>5</v>
      </c>
      <c r="B49" s="38" t="s">
        <v>111</v>
      </c>
      <c r="C49" s="45" t="s">
        <v>37</v>
      </c>
      <c r="D49" s="11">
        <v>10000</v>
      </c>
      <c r="E49" s="11">
        <v>0</v>
      </c>
      <c r="F49" s="11">
        <f t="shared" si="5"/>
        <v>10000</v>
      </c>
      <c r="G49" s="62">
        <f t="shared" si="6"/>
        <v>0</v>
      </c>
      <c r="P49" s="182">
        <v>3110000</v>
      </c>
      <c r="Q49" s="182">
        <v>1305683</v>
      </c>
      <c r="R49" s="2">
        <f>Q49/P49</f>
        <v>0.41983376205787781</v>
      </c>
      <c r="S49"/>
    </row>
    <row r="50" spans="1:21" s="5" customFormat="1" ht="39" x14ac:dyDescent="0.2">
      <c r="A50" s="39" t="s">
        <v>6</v>
      </c>
      <c r="B50" s="40" t="s">
        <v>81</v>
      </c>
      <c r="C50" s="7" t="s">
        <v>37</v>
      </c>
      <c r="D50" s="7">
        <v>30000</v>
      </c>
      <c r="E50" s="7">
        <v>26700</v>
      </c>
      <c r="F50" s="7">
        <f t="shared" si="5"/>
        <v>3300</v>
      </c>
      <c r="G50" s="146">
        <f t="shared" si="6"/>
        <v>0.89</v>
      </c>
      <c r="P50" s="182">
        <v>300000</v>
      </c>
      <c r="Q50" s="182">
        <v>6300</v>
      </c>
      <c r="R50" s="2">
        <f>Q50/P50</f>
        <v>2.1000000000000001E-2</v>
      </c>
      <c r="S50"/>
    </row>
    <row r="51" spans="1:21" ht="40" thickBot="1" x14ac:dyDescent="0.25">
      <c r="A51" s="63" t="s">
        <v>6</v>
      </c>
      <c r="B51" s="64" t="s">
        <v>82</v>
      </c>
      <c r="C51" s="65" t="s">
        <v>37</v>
      </c>
      <c r="D51" s="66">
        <v>200</v>
      </c>
      <c r="E51" s="67">
        <v>0</v>
      </c>
      <c r="F51" s="67">
        <f t="shared" si="5"/>
        <v>200</v>
      </c>
      <c r="G51" s="68">
        <f t="shared" si="6"/>
        <v>0</v>
      </c>
      <c r="H51" s="51"/>
      <c r="I51" s="51"/>
      <c r="J51" s="51"/>
      <c r="K51" s="51"/>
      <c r="L51" s="51"/>
      <c r="M51" s="51"/>
      <c r="N51" s="51"/>
      <c r="P51" s="183">
        <v>58300</v>
      </c>
      <c r="Q51" s="183">
        <v>2444</v>
      </c>
      <c r="R51" s="2">
        <f>Q51/P51</f>
        <v>4.1921097770154375E-2</v>
      </c>
      <c r="S51" s="183">
        <v>56000</v>
      </c>
      <c r="T51" s="183">
        <v>6411</v>
      </c>
      <c r="U51" s="2">
        <f>T51/S51</f>
        <v>0.11448214285714285</v>
      </c>
    </row>
    <row r="52" spans="1:21" ht="16" thickBot="1" x14ac:dyDescent="0.25"/>
    <row r="53" spans="1:21" s="4" customFormat="1" ht="78" x14ac:dyDescent="0.2">
      <c r="A53" s="6" t="s">
        <v>10</v>
      </c>
      <c r="B53" s="6" t="s">
        <v>8</v>
      </c>
      <c r="C53" s="6" t="s">
        <v>7</v>
      </c>
      <c r="D53" s="6" t="s">
        <v>71</v>
      </c>
      <c r="E53" s="6" t="s">
        <v>72</v>
      </c>
      <c r="F53" s="6" t="s">
        <v>16</v>
      </c>
      <c r="G53" s="6" t="s">
        <v>9</v>
      </c>
    </row>
    <row r="54" spans="1:21" ht="26" x14ac:dyDescent="0.2">
      <c r="A54" s="55" t="s">
        <v>3</v>
      </c>
      <c r="B54" s="32" t="s">
        <v>66</v>
      </c>
      <c r="C54" s="17" t="s">
        <v>42</v>
      </c>
      <c r="D54" s="17">
        <v>2104</v>
      </c>
      <c r="E54" s="17">
        <v>1065</v>
      </c>
      <c r="F54" s="17">
        <f>IF(D54-E54&lt;0,0,D54-E54)</f>
        <v>1039</v>
      </c>
      <c r="G54" s="56">
        <f>E54/D54</f>
        <v>0.50617870722433456</v>
      </c>
      <c r="H54" s="51"/>
      <c r="I54" s="51"/>
      <c r="J54" s="51"/>
      <c r="K54" s="51"/>
      <c r="L54" s="51"/>
      <c r="M54" s="51"/>
      <c r="N54" s="51"/>
    </row>
    <row r="55" spans="1:21" ht="26" x14ac:dyDescent="0.2">
      <c r="A55" s="57" t="s">
        <v>4</v>
      </c>
      <c r="B55" s="34" t="s">
        <v>23</v>
      </c>
      <c r="C55" s="49" t="s">
        <v>42</v>
      </c>
      <c r="D55" s="15">
        <v>32000</v>
      </c>
      <c r="E55" s="15">
        <v>13787</v>
      </c>
      <c r="F55" s="15">
        <f>IF(D55-E55&lt;0,0,D55-E55)</f>
        <v>18213</v>
      </c>
      <c r="G55" s="58">
        <f>E55/D55</f>
        <v>0.43084375000000003</v>
      </c>
      <c r="H55" s="51"/>
      <c r="I55" s="51"/>
      <c r="J55" s="51"/>
      <c r="K55" s="51"/>
      <c r="L55" s="51"/>
      <c r="M55" s="51"/>
      <c r="N55" s="51"/>
    </row>
    <row r="56" spans="1:21" s="5" customFormat="1" ht="26" x14ac:dyDescent="0.15">
      <c r="A56" s="59" t="s">
        <v>11</v>
      </c>
      <c r="B56" s="36" t="s">
        <v>24</v>
      </c>
      <c r="C56" s="44" t="s">
        <v>42</v>
      </c>
      <c r="D56" s="44">
        <v>95000</v>
      </c>
      <c r="E56" s="44">
        <v>70235</v>
      </c>
      <c r="F56" s="44">
        <f>IF(D56-E56&lt;0,0,D56-E56)</f>
        <v>24765</v>
      </c>
      <c r="G56" s="60">
        <f>E56/D56</f>
        <v>0.73931578947368426</v>
      </c>
    </row>
    <row r="57" spans="1:21" ht="26" x14ac:dyDescent="0.2">
      <c r="A57" s="61" t="s">
        <v>5</v>
      </c>
      <c r="B57" s="38" t="s">
        <v>67</v>
      </c>
      <c r="C57" s="45" t="s">
        <v>42</v>
      </c>
      <c r="D57" s="11">
        <v>131250</v>
      </c>
      <c r="E57" s="11">
        <v>137624</v>
      </c>
      <c r="F57" s="11">
        <f>IF(D57-E57&lt;0,0,D57-E57)</f>
        <v>0</v>
      </c>
      <c r="G57" s="62">
        <f>E57/D57</f>
        <v>1.0485638095238095</v>
      </c>
      <c r="H57" s="51"/>
      <c r="I57" s="51"/>
      <c r="J57" s="51"/>
      <c r="K57" s="51"/>
      <c r="L57" s="51"/>
      <c r="M57" s="51"/>
      <c r="N57" s="51"/>
    </row>
    <row r="58" spans="1:21" ht="40" thickBot="1" x14ac:dyDescent="0.25">
      <c r="A58" s="63" t="s">
        <v>6</v>
      </c>
      <c r="B58" s="64" t="s">
        <v>82</v>
      </c>
      <c r="C58" s="65" t="s">
        <v>42</v>
      </c>
      <c r="D58" s="66">
        <v>5500</v>
      </c>
      <c r="E58" s="67">
        <v>5786</v>
      </c>
      <c r="F58" s="67">
        <f>IF(D58-E58&lt;0,0,D58-E58)</f>
        <v>0</v>
      </c>
      <c r="G58" s="68">
        <f>E58/D58</f>
        <v>1.052</v>
      </c>
      <c r="H58" s="51"/>
      <c r="I58" s="51"/>
      <c r="J58" s="51"/>
      <c r="K58" s="51"/>
      <c r="L58" s="51"/>
      <c r="M58" s="51"/>
      <c r="N58" s="51"/>
    </row>
    <row r="59" spans="1:21" ht="16" thickBot="1" x14ac:dyDescent="0.25">
      <c r="A59"/>
      <c r="B59"/>
      <c r="C59"/>
      <c r="D59"/>
      <c r="E59"/>
      <c r="F59"/>
      <c r="H59" s="51"/>
      <c r="I59" s="51"/>
      <c r="J59" s="51"/>
      <c r="K59" s="51"/>
      <c r="L59" s="51"/>
      <c r="M59" s="51"/>
      <c r="N59" s="51"/>
    </row>
    <row r="60" spans="1:21" s="4" customFormat="1" ht="65" x14ac:dyDescent="0.2">
      <c r="A60" s="6" t="s">
        <v>10</v>
      </c>
      <c r="B60" s="6" t="s">
        <v>8</v>
      </c>
      <c r="C60" s="6" t="s">
        <v>7</v>
      </c>
      <c r="D60" s="6" t="s">
        <v>84</v>
      </c>
      <c r="E60" s="6" t="s">
        <v>85</v>
      </c>
      <c r="F60" s="6" t="s">
        <v>16</v>
      </c>
      <c r="G60" s="6" t="s">
        <v>9</v>
      </c>
    </row>
    <row r="61" spans="1:21" ht="26" x14ac:dyDescent="0.2">
      <c r="A61" s="55" t="s">
        <v>3</v>
      </c>
      <c r="B61" s="32" t="s">
        <v>66</v>
      </c>
      <c r="C61" s="17" t="s">
        <v>56</v>
      </c>
      <c r="D61" s="17">
        <v>60000</v>
      </c>
      <c r="E61" s="17">
        <v>0</v>
      </c>
      <c r="F61" s="17">
        <f>IF(D61-E61&lt;0,0,D61-E61)</f>
        <v>60000</v>
      </c>
      <c r="G61" s="56">
        <f>E61/D61</f>
        <v>0</v>
      </c>
      <c r="H61" s="51"/>
      <c r="I61" s="51"/>
      <c r="J61" s="51"/>
      <c r="K61" s="51"/>
      <c r="L61" s="51"/>
      <c r="M61" s="51"/>
      <c r="N61" s="51"/>
    </row>
    <row r="62" spans="1:21" ht="39" x14ac:dyDescent="0.2">
      <c r="A62" s="57" t="s">
        <v>4</v>
      </c>
      <c r="B62" s="34" t="s">
        <v>86</v>
      </c>
      <c r="C62" s="147" t="s">
        <v>56</v>
      </c>
      <c r="D62" s="15">
        <v>1000000</v>
      </c>
      <c r="E62" s="15">
        <v>0</v>
      </c>
      <c r="F62" s="15">
        <f>IF(D62-E62&lt;0,0,D62-E62)</f>
        <v>1000000</v>
      </c>
      <c r="G62" s="58">
        <f>E62/D62</f>
        <v>0</v>
      </c>
      <c r="H62" s="51"/>
      <c r="I62" s="51"/>
      <c r="J62" s="51"/>
      <c r="K62" s="51"/>
      <c r="L62" s="51"/>
      <c r="M62" s="51"/>
      <c r="N62" s="51"/>
    </row>
    <row r="63" spans="1:21" s="5" customFormat="1" ht="26" x14ac:dyDescent="0.15">
      <c r="A63" s="59" t="s">
        <v>11</v>
      </c>
      <c r="B63" s="36" t="s">
        <v>24</v>
      </c>
      <c r="C63" s="148" t="s">
        <v>56</v>
      </c>
      <c r="D63" s="148">
        <v>200000</v>
      </c>
      <c r="E63" s="148">
        <v>6883</v>
      </c>
      <c r="F63" s="148">
        <f>IF(D63-E63&lt;0,0,D63-E63)</f>
        <v>193117</v>
      </c>
      <c r="G63" s="60">
        <f>E63/D63</f>
        <v>3.4415000000000001E-2</v>
      </c>
    </row>
    <row r="64" spans="1:21" ht="26" x14ac:dyDescent="0.2">
      <c r="A64" s="61" t="s">
        <v>5</v>
      </c>
      <c r="B64" s="38" t="s">
        <v>67</v>
      </c>
      <c r="C64" s="149" t="s">
        <v>56</v>
      </c>
      <c r="D64" s="11">
        <v>200000</v>
      </c>
      <c r="E64" s="11">
        <v>3000</v>
      </c>
      <c r="F64" s="11">
        <f>IF(D64-E64&lt;0,0,D64-E64)</f>
        <v>197000</v>
      </c>
      <c r="G64" s="62">
        <f>E64/D64</f>
        <v>1.4999999999999999E-2</v>
      </c>
      <c r="H64" s="51"/>
      <c r="I64" s="51"/>
      <c r="J64" s="51"/>
      <c r="K64" s="51"/>
      <c r="L64" s="51"/>
      <c r="M64" s="51"/>
      <c r="N64" s="51"/>
    </row>
    <row r="65" spans="1:14" s="5" customFormat="1" ht="39" x14ac:dyDescent="0.15">
      <c r="A65" s="39" t="s">
        <v>6</v>
      </c>
      <c r="B65" s="40" t="s">
        <v>81</v>
      </c>
      <c r="C65" s="7" t="s">
        <v>56</v>
      </c>
      <c r="D65" s="7">
        <v>100000</v>
      </c>
      <c r="E65" s="7">
        <v>5974</v>
      </c>
      <c r="F65" s="7">
        <f>IF(D65-E65&lt;0,0,D65-E65)</f>
        <v>94026</v>
      </c>
      <c r="G65" s="145">
        <f>E65/D65</f>
        <v>5.9740000000000001E-2</v>
      </c>
    </row>
    <row r="66" spans="1:14" x14ac:dyDescent="0.2">
      <c r="A66"/>
      <c r="B66"/>
      <c r="C66"/>
      <c r="D66"/>
      <c r="E66"/>
      <c r="F66"/>
      <c r="H66" s="51"/>
      <c r="I66" s="51"/>
      <c r="J66" s="51"/>
      <c r="K66" s="51"/>
      <c r="L66" s="51"/>
      <c r="M66" s="51"/>
      <c r="N66" s="51"/>
    </row>
    <row r="67" spans="1:14" s="72" customFormat="1" x14ac:dyDescent="0.2">
      <c r="A67" s="70"/>
      <c r="B67" s="70"/>
      <c r="C67" s="70"/>
      <c r="D67" s="70"/>
      <c r="E67" s="70"/>
      <c r="F67" s="71"/>
      <c r="H67" s="73"/>
      <c r="I67" s="73"/>
      <c r="J67" s="73"/>
      <c r="K67" s="73"/>
      <c r="L67" s="73"/>
      <c r="M67" s="73"/>
      <c r="N67" s="73"/>
    </row>
    <row r="68" spans="1:14" ht="16" thickBot="1" x14ac:dyDescent="0.25">
      <c r="A68"/>
      <c r="B68"/>
      <c r="C68"/>
      <c r="D68"/>
      <c r="E68"/>
      <c r="F68"/>
      <c r="H68" s="51"/>
      <c r="I68" s="51"/>
      <c r="J68" s="51"/>
      <c r="K68" s="51"/>
      <c r="L68" s="51"/>
      <c r="M68" s="51"/>
      <c r="N68" s="51"/>
    </row>
    <row r="69" spans="1:14" ht="65" x14ac:dyDescent="0.2">
      <c r="A69" s="52" t="s">
        <v>10</v>
      </c>
      <c r="B69" s="53" t="s">
        <v>8</v>
      </c>
      <c r="C69" s="53" t="s">
        <v>7</v>
      </c>
      <c r="D69" s="53" t="s">
        <v>73</v>
      </c>
      <c r="E69" s="53" t="s">
        <v>74</v>
      </c>
      <c r="F69" s="53" t="s">
        <v>16</v>
      </c>
      <c r="G69" s="54" t="s">
        <v>9</v>
      </c>
      <c r="H69" s="51"/>
      <c r="I69" s="51"/>
      <c r="J69" s="51"/>
      <c r="K69" s="51"/>
      <c r="L69" s="51"/>
      <c r="M69" s="51"/>
      <c r="N69" s="51"/>
    </row>
    <row r="70" spans="1:14" ht="26" x14ac:dyDescent="0.2">
      <c r="A70" s="55" t="s">
        <v>3</v>
      </c>
      <c r="B70" s="32" t="s">
        <v>66</v>
      </c>
      <c r="C70" s="154" t="s">
        <v>88</v>
      </c>
      <c r="D70" s="17">
        <f>D77+D84+D91+D98+D105+D112</f>
        <v>10513</v>
      </c>
      <c r="E70" s="17">
        <f>E77+E84+E98+E91+E105+E112</f>
        <v>1029</v>
      </c>
      <c r="F70" s="17">
        <f>IF(D70-E70&lt;0,0,D70-E70)</f>
        <v>9484</v>
      </c>
      <c r="G70" s="56">
        <f>E70/D70</f>
        <v>9.7878816703129465E-2</v>
      </c>
      <c r="H70" s="51"/>
      <c r="I70" s="51"/>
      <c r="J70" s="51"/>
      <c r="K70" s="51"/>
      <c r="L70" s="51"/>
      <c r="M70" s="51"/>
      <c r="N70" s="51"/>
    </row>
    <row r="71" spans="1:14" ht="26" x14ac:dyDescent="0.2">
      <c r="A71" s="57" t="s">
        <v>4</v>
      </c>
      <c r="B71" s="34" t="s">
        <v>23</v>
      </c>
      <c r="C71" s="15" t="s">
        <v>88</v>
      </c>
      <c r="D71" s="15">
        <f>D78+D85+D92+D99+D106+D113</f>
        <v>239775</v>
      </c>
      <c r="E71" s="15">
        <f>E78+E85+E92+E99+E106+E113</f>
        <v>31100</v>
      </c>
      <c r="F71" s="15">
        <f>IF(D71-E71&lt;0,0,D71-E71)</f>
        <v>208675</v>
      </c>
      <c r="G71" s="58">
        <f>E71/D71</f>
        <v>0.12970493170680847</v>
      </c>
      <c r="H71" s="51"/>
      <c r="I71" s="51"/>
      <c r="J71" s="51"/>
      <c r="K71" s="51"/>
      <c r="L71" s="51"/>
      <c r="M71" s="51"/>
      <c r="N71" s="51"/>
    </row>
    <row r="72" spans="1:14" ht="26" x14ac:dyDescent="0.2">
      <c r="A72" s="59" t="s">
        <v>11</v>
      </c>
      <c r="B72" s="36" t="s">
        <v>24</v>
      </c>
      <c r="C72" s="69" t="s">
        <v>88</v>
      </c>
      <c r="D72" s="156">
        <f>D79+D86+D93+D100+D107+D114</f>
        <v>77532</v>
      </c>
      <c r="E72" s="156">
        <f>E79+E86+E93+E100+E107+E114</f>
        <v>36902</v>
      </c>
      <c r="F72" s="156">
        <f>IF(D72-E72&lt;0,0,D72-E72)</f>
        <v>40630</v>
      </c>
      <c r="G72" s="60">
        <f>E72/D72</f>
        <v>0.47595831398648303</v>
      </c>
      <c r="H72" s="51"/>
      <c r="I72" s="51"/>
      <c r="J72" s="51"/>
      <c r="K72" s="51"/>
      <c r="L72" s="51"/>
      <c r="M72" s="51"/>
      <c r="N72" s="51"/>
    </row>
    <row r="73" spans="1:14" ht="26" x14ac:dyDescent="0.2">
      <c r="A73" s="61" t="s">
        <v>5</v>
      </c>
      <c r="B73" s="38" t="s">
        <v>67</v>
      </c>
      <c r="C73" s="11" t="s">
        <v>88</v>
      </c>
      <c r="D73" s="11">
        <f>D80+D87+D94+D101+D108+D115</f>
        <v>141514</v>
      </c>
      <c r="E73" s="11">
        <f>E80+E87+E94+E101+E108+E115</f>
        <v>88418</v>
      </c>
      <c r="F73" s="11">
        <f>IF(D73-E73&lt;0,0,D73-E73)</f>
        <v>53096</v>
      </c>
      <c r="G73" s="62">
        <f>E73/D73</f>
        <v>0.6248003731079611</v>
      </c>
      <c r="H73" s="51"/>
      <c r="I73" s="51"/>
      <c r="J73" s="51"/>
      <c r="K73" s="51"/>
      <c r="L73" s="51"/>
      <c r="M73" s="51"/>
      <c r="N73" s="51"/>
    </row>
    <row r="74" spans="1:14" ht="40" thickBot="1" x14ac:dyDescent="0.25">
      <c r="A74" s="63" t="s">
        <v>6</v>
      </c>
      <c r="B74" s="64" t="s">
        <v>82</v>
      </c>
      <c r="C74" s="67" t="s">
        <v>88</v>
      </c>
      <c r="D74" s="66">
        <f>D81+D88+D95+D102+D109+D116</f>
        <v>16305</v>
      </c>
      <c r="E74" s="67">
        <f>E81+E88+E95+E102+E109+E116</f>
        <v>6917</v>
      </c>
      <c r="F74" s="67">
        <f>IF(D74-E74&lt;0,0,D74-E74)</f>
        <v>9388</v>
      </c>
      <c r="G74" s="68">
        <f>E74/D74</f>
        <v>0.42422569763876111</v>
      </c>
      <c r="H74" s="51"/>
      <c r="I74" s="51"/>
      <c r="J74" s="51"/>
      <c r="K74" s="51"/>
      <c r="L74" s="51"/>
      <c r="M74" s="51"/>
      <c r="N74" s="51"/>
    </row>
    <row r="75" spans="1:14" ht="16" thickBot="1" x14ac:dyDescent="0.25">
      <c r="A75"/>
      <c r="B75"/>
      <c r="C75"/>
      <c r="D75"/>
      <c r="E75"/>
      <c r="F75"/>
      <c r="H75" s="51"/>
      <c r="I75" s="51"/>
      <c r="J75" s="51"/>
      <c r="K75" s="51"/>
      <c r="L75" s="51"/>
      <c r="M75" s="51"/>
      <c r="N75" s="51"/>
    </row>
    <row r="76" spans="1:14" s="4" customFormat="1" ht="65" x14ac:dyDescent="0.2">
      <c r="A76" s="52" t="s">
        <v>10</v>
      </c>
      <c r="B76" s="53" t="s">
        <v>8</v>
      </c>
      <c r="C76" s="53" t="s">
        <v>7</v>
      </c>
      <c r="D76" s="53" t="s">
        <v>73</v>
      </c>
      <c r="E76" s="53" t="s">
        <v>74</v>
      </c>
      <c r="F76" s="53" t="s">
        <v>16</v>
      </c>
      <c r="G76" s="54" t="s">
        <v>9</v>
      </c>
    </row>
    <row r="77" spans="1:14" ht="26" x14ac:dyDescent="0.2">
      <c r="A77" s="55" t="s">
        <v>3</v>
      </c>
      <c r="B77" s="32" t="s">
        <v>66</v>
      </c>
      <c r="C77" s="17" t="s">
        <v>36</v>
      </c>
      <c r="D77" s="17">
        <v>5000</v>
      </c>
      <c r="E77" s="17">
        <v>0</v>
      </c>
      <c r="F77" s="17">
        <f>IF(D77-E77&lt;0,0,D77-E77)</f>
        <v>5000</v>
      </c>
      <c r="G77" s="56">
        <f>E77/D77</f>
        <v>0</v>
      </c>
      <c r="H77" s="51"/>
      <c r="I77" s="51"/>
      <c r="J77" s="51"/>
      <c r="K77" s="51"/>
      <c r="L77" s="51"/>
      <c r="M77" s="51"/>
      <c r="N77" s="51"/>
    </row>
    <row r="78" spans="1:14" ht="26" x14ac:dyDescent="0.2">
      <c r="A78" s="57" t="s">
        <v>4</v>
      </c>
      <c r="B78" s="34" t="s">
        <v>23</v>
      </c>
      <c r="C78" s="49" t="s">
        <v>36</v>
      </c>
      <c r="D78" s="15">
        <v>12000</v>
      </c>
      <c r="E78" s="15">
        <v>2343</v>
      </c>
      <c r="F78" s="15">
        <f>IF(D78-E78&lt;0,0,D78-E78)</f>
        <v>9657</v>
      </c>
      <c r="G78" s="58">
        <f>E78/D78</f>
        <v>0.19525000000000001</v>
      </c>
      <c r="H78" s="51"/>
      <c r="I78" s="51"/>
      <c r="J78" s="51"/>
      <c r="K78" s="51"/>
      <c r="L78" s="51"/>
      <c r="M78" s="51"/>
      <c r="N78" s="51"/>
    </row>
    <row r="79" spans="1:14" ht="26" x14ac:dyDescent="0.2">
      <c r="A79" s="59" t="s">
        <v>11</v>
      </c>
      <c r="B79" s="36" t="s">
        <v>24</v>
      </c>
      <c r="C79" s="44" t="s">
        <v>36</v>
      </c>
      <c r="D79" s="44">
        <v>12250</v>
      </c>
      <c r="E79" s="44">
        <v>0</v>
      </c>
      <c r="F79" s="44">
        <f>IF(D79-E79&lt;0,0,D79-E79)</f>
        <v>12250</v>
      </c>
      <c r="G79" s="60">
        <f>E79/D79</f>
        <v>0</v>
      </c>
      <c r="H79" s="51"/>
      <c r="I79" s="51"/>
      <c r="J79" s="51"/>
      <c r="K79" s="51"/>
      <c r="L79" s="51"/>
      <c r="M79" s="51"/>
      <c r="N79" s="51"/>
    </row>
    <row r="80" spans="1:14" ht="26" x14ac:dyDescent="0.2">
      <c r="A80" s="61" t="s">
        <v>5</v>
      </c>
      <c r="B80" s="38" t="s">
        <v>67</v>
      </c>
      <c r="C80" s="45" t="s">
        <v>36</v>
      </c>
      <c r="D80" s="11">
        <v>35411</v>
      </c>
      <c r="E80" s="11">
        <v>15637</v>
      </c>
      <c r="F80" s="11">
        <f>IF(D80-E80&lt;0,0,D80-E80)</f>
        <v>19774</v>
      </c>
      <c r="G80" s="62">
        <f>E80/D80</f>
        <v>0.44158594786930616</v>
      </c>
      <c r="H80" s="51"/>
      <c r="I80" s="51"/>
      <c r="J80" s="51"/>
      <c r="K80" s="51"/>
      <c r="L80" s="51"/>
      <c r="M80" s="51"/>
      <c r="N80" s="51"/>
    </row>
    <row r="81" spans="1:14" ht="40" thickBot="1" x14ac:dyDescent="0.25">
      <c r="A81" s="63" t="s">
        <v>6</v>
      </c>
      <c r="B81" s="64" t="s">
        <v>82</v>
      </c>
      <c r="C81" s="65" t="s">
        <v>36</v>
      </c>
      <c r="D81" s="66">
        <v>320</v>
      </c>
      <c r="E81" s="67">
        <v>0</v>
      </c>
      <c r="F81" s="67">
        <f>IF(D81-E81&lt;0,0,D81-E81)</f>
        <v>320</v>
      </c>
      <c r="G81" s="68">
        <f>E81/D81</f>
        <v>0</v>
      </c>
      <c r="H81" s="51"/>
      <c r="I81" s="51"/>
      <c r="J81" s="51"/>
      <c r="K81" s="51"/>
      <c r="L81" s="51"/>
      <c r="M81" s="51"/>
      <c r="N81" s="51"/>
    </row>
    <row r="82" spans="1:14" ht="16" thickBot="1" x14ac:dyDescent="0.25">
      <c r="H82" s="51"/>
      <c r="I82" s="51"/>
      <c r="J82" s="51"/>
      <c r="K82" s="51"/>
      <c r="L82" s="51"/>
      <c r="M82" s="51"/>
      <c r="N82" s="51"/>
    </row>
    <row r="83" spans="1:14" ht="65" x14ac:dyDescent="0.2">
      <c r="A83" s="52" t="s">
        <v>10</v>
      </c>
      <c r="B83" s="53" t="s">
        <v>8</v>
      </c>
      <c r="C83" s="53" t="s">
        <v>7</v>
      </c>
      <c r="D83" s="53" t="s">
        <v>73</v>
      </c>
      <c r="E83" s="53" t="s">
        <v>74</v>
      </c>
      <c r="F83" s="53" t="s">
        <v>16</v>
      </c>
      <c r="G83" s="54" t="s">
        <v>9</v>
      </c>
      <c r="H83" s="51"/>
      <c r="I83" s="51"/>
      <c r="J83" s="51"/>
      <c r="K83" s="51"/>
      <c r="L83" s="51"/>
      <c r="M83" s="51"/>
      <c r="N83" s="51"/>
    </row>
    <row r="84" spans="1:14" ht="26" x14ac:dyDescent="0.2">
      <c r="A84" s="55" t="s">
        <v>3</v>
      </c>
      <c r="B84" s="32" t="s">
        <v>66</v>
      </c>
      <c r="C84" s="17" t="s">
        <v>2</v>
      </c>
      <c r="D84" s="17">
        <v>3282</v>
      </c>
      <c r="E84" s="17">
        <v>570</v>
      </c>
      <c r="F84" s="17">
        <f>IF(D84-E84&lt;0,0,D84-E84)</f>
        <v>2712</v>
      </c>
      <c r="G84" s="56">
        <f>E84/D84</f>
        <v>0.17367458866544791</v>
      </c>
      <c r="H84" s="51"/>
      <c r="I84" s="51"/>
      <c r="J84" s="51"/>
      <c r="K84" s="51"/>
      <c r="L84" s="51"/>
      <c r="M84" s="51"/>
      <c r="N84" s="51"/>
    </row>
    <row r="85" spans="1:14" ht="26" x14ac:dyDescent="0.2">
      <c r="A85" s="57" t="s">
        <v>4</v>
      </c>
      <c r="B85" s="34" t="s">
        <v>23</v>
      </c>
      <c r="C85" s="151" t="s">
        <v>2</v>
      </c>
      <c r="D85" s="15">
        <v>208400</v>
      </c>
      <c r="E85" s="15">
        <v>18733</v>
      </c>
      <c r="F85" s="15">
        <f>IF(D85-E85&lt;0,0,D85-E85)</f>
        <v>189667</v>
      </c>
      <c r="G85" s="58">
        <f>E85/D85</f>
        <v>8.9889635316698663E-2</v>
      </c>
      <c r="H85" s="51"/>
      <c r="I85" s="51"/>
      <c r="J85" s="51"/>
      <c r="K85" s="51"/>
      <c r="L85" s="51"/>
      <c r="M85" s="51"/>
      <c r="N85" s="51"/>
    </row>
    <row r="86" spans="1:14" ht="26" x14ac:dyDescent="0.2">
      <c r="A86" s="59" t="s">
        <v>11</v>
      </c>
      <c r="B86" s="36" t="s">
        <v>24</v>
      </c>
      <c r="C86" s="152" t="s">
        <v>2</v>
      </c>
      <c r="D86" s="152">
        <v>18852</v>
      </c>
      <c r="E86" s="152">
        <v>0</v>
      </c>
      <c r="F86" s="152">
        <f>IF(D86-E86&lt;0,0,D86-E86)</f>
        <v>18852</v>
      </c>
      <c r="G86" s="60">
        <f>E86/D86</f>
        <v>0</v>
      </c>
      <c r="H86" s="51"/>
      <c r="I86" s="51"/>
      <c r="J86" s="51"/>
      <c r="K86" s="51"/>
      <c r="L86" s="51"/>
      <c r="M86" s="51"/>
      <c r="N86" s="51"/>
    </row>
    <row r="87" spans="1:14" ht="26" x14ac:dyDescent="0.2">
      <c r="A87" s="61" t="s">
        <v>5</v>
      </c>
      <c r="B87" s="38" t="s">
        <v>67</v>
      </c>
      <c r="C87" s="153" t="s">
        <v>2</v>
      </c>
      <c r="D87" s="11">
        <v>12000</v>
      </c>
      <c r="E87" s="11">
        <v>30404</v>
      </c>
      <c r="F87" s="11">
        <f>IF(D87-E87&lt;0,0,D87-E87)</f>
        <v>0</v>
      </c>
      <c r="G87" s="62">
        <f>E87/D87</f>
        <v>2.5336666666666665</v>
      </c>
      <c r="H87" s="51"/>
      <c r="I87" s="51"/>
      <c r="J87" s="51"/>
      <c r="K87" s="51"/>
      <c r="L87" s="51"/>
      <c r="M87" s="51"/>
      <c r="N87" s="51"/>
    </row>
    <row r="88" spans="1:14" ht="40" thickBot="1" x14ac:dyDescent="0.25">
      <c r="A88" s="63" t="s">
        <v>6</v>
      </c>
      <c r="B88" s="64" t="s">
        <v>82</v>
      </c>
      <c r="C88" s="65" t="s">
        <v>2</v>
      </c>
      <c r="D88" s="66">
        <v>5385</v>
      </c>
      <c r="E88" s="67">
        <v>3941</v>
      </c>
      <c r="F88" s="67">
        <f>IF(D88-E88&lt;0,0,D88-E88)</f>
        <v>1444</v>
      </c>
      <c r="G88" s="68">
        <f>E88/D88</f>
        <v>0.73184772516248842</v>
      </c>
      <c r="H88" s="51"/>
      <c r="I88" s="51"/>
      <c r="J88" s="51"/>
      <c r="K88" s="51"/>
      <c r="L88" s="51"/>
      <c r="M88" s="51"/>
      <c r="N88" s="51"/>
    </row>
    <row r="89" spans="1:14" ht="16" thickBot="1" x14ac:dyDescent="0.25">
      <c r="H89" s="51"/>
      <c r="I89" s="51"/>
      <c r="J89" s="51"/>
      <c r="K89" s="51"/>
      <c r="L89" s="51"/>
      <c r="M89" s="51"/>
      <c r="N89" s="51"/>
    </row>
    <row r="90" spans="1:14" ht="65" x14ac:dyDescent="0.2">
      <c r="A90" s="52" t="s">
        <v>10</v>
      </c>
      <c r="B90" s="53" t="s">
        <v>8</v>
      </c>
      <c r="C90" s="53" t="s">
        <v>7</v>
      </c>
      <c r="D90" s="53" t="s">
        <v>73</v>
      </c>
      <c r="E90" s="53" t="s">
        <v>74</v>
      </c>
      <c r="F90" s="53" t="s">
        <v>16</v>
      </c>
      <c r="G90" s="54" t="s">
        <v>9</v>
      </c>
      <c r="H90" s="51"/>
      <c r="I90" s="51"/>
      <c r="J90" s="51"/>
      <c r="K90" s="51"/>
      <c r="L90" s="51"/>
      <c r="M90" s="51"/>
      <c r="N90" s="51"/>
    </row>
    <row r="91" spans="1:14" ht="26" x14ac:dyDescent="0.2">
      <c r="A91" s="55" t="s">
        <v>3</v>
      </c>
      <c r="B91" s="32" t="s">
        <v>66</v>
      </c>
      <c r="C91" s="17" t="s">
        <v>59</v>
      </c>
      <c r="D91" s="17">
        <v>400</v>
      </c>
      <c r="E91" s="17">
        <v>273</v>
      </c>
      <c r="F91" s="17">
        <f>IF(D91-E91&lt;0,0,D91-E91)</f>
        <v>127</v>
      </c>
      <c r="G91" s="56">
        <f>E91/D91</f>
        <v>0.6825</v>
      </c>
      <c r="H91" s="51"/>
      <c r="I91" s="51"/>
      <c r="J91" s="51"/>
      <c r="K91" s="51"/>
      <c r="L91" s="51"/>
      <c r="M91" s="51"/>
      <c r="N91" s="51"/>
    </row>
    <row r="92" spans="1:14" ht="26" x14ac:dyDescent="0.2">
      <c r="A92" s="57" t="s">
        <v>4</v>
      </c>
      <c r="B92" s="34" t="s">
        <v>23</v>
      </c>
      <c r="C92" s="151" t="s">
        <v>59</v>
      </c>
      <c r="D92" s="15">
        <v>11875</v>
      </c>
      <c r="E92" s="15">
        <v>6690</v>
      </c>
      <c r="F92" s="15">
        <f>IF(D92-E92&lt;0,0,D92-E92)</f>
        <v>5185</v>
      </c>
      <c r="G92" s="58">
        <f>E92/D92</f>
        <v>0.56336842105263163</v>
      </c>
      <c r="H92" s="51"/>
      <c r="I92" s="51"/>
      <c r="J92" s="51"/>
      <c r="K92" s="51"/>
      <c r="L92" s="51"/>
      <c r="M92" s="51"/>
      <c r="N92" s="51"/>
    </row>
    <row r="93" spans="1:14" ht="26" x14ac:dyDescent="0.2">
      <c r="A93" s="59" t="s">
        <v>11</v>
      </c>
      <c r="B93" s="36" t="s">
        <v>24</v>
      </c>
      <c r="C93" s="152" t="s">
        <v>59</v>
      </c>
      <c r="D93" s="152">
        <v>3540</v>
      </c>
      <c r="E93" s="152">
        <v>1422</v>
      </c>
      <c r="F93" s="152">
        <f>IF(D93-E93&lt;0,0,D93-E93)</f>
        <v>2118</v>
      </c>
      <c r="G93" s="60">
        <f>E93/D93</f>
        <v>0.40169491525423728</v>
      </c>
      <c r="H93" s="51"/>
      <c r="I93" s="51"/>
      <c r="J93" s="51"/>
      <c r="K93" s="51"/>
      <c r="L93" s="51"/>
      <c r="M93" s="51"/>
      <c r="N93" s="51"/>
    </row>
    <row r="94" spans="1:14" ht="26" x14ac:dyDescent="0.2">
      <c r="A94" s="61" t="s">
        <v>5</v>
      </c>
      <c r="B94" s="38" t="s">
        <v>67</v>
      </c>
      <c r="C94" s="153" t="s">
        <v>59</v>
      </c>
      <c r="D94" s="11">
        <v>15000</v>
      </c>
      <c r="E94" s="11">
        <v>9253</v>
      </c>
      <c r="F94" s="11">
        <f>IF(D94-E94&lt;0,0,D94-E94)</f>
        <v>5747</v>
      </c>
      <c r="G94" s="62">
        <f>E94/D94</f>
        <v>0.61686666666666667</v>
      </c>
      <c r="H94" s="51"/>
      <c r="I94" s="51"/>
      <c r="J94" s="51"/>
      <c r="K94" s="51"/>
      <c r="L94" s="51"/>
      <c r="M94" s="51"/>
      <c r="N94" s="51"/>
    </row>
    <row r="95" spans="1:14" ht="40" thickBot="1" x14ac:dyDescent="0.25">
      <c r="A95" s="63" t="s">
        <v>6</v>
      </c>
      <c r="B95" s="64" t="s">
        <v>82</v>
      </c>
      <c r="C95" s="65" t="s">
        <v>59</v>
      </c>
      <c r="D95" s="66">
        <v>250</v>
      </c>
      <c r="E95" s="67">
        <v>98</v>
      </c>
      <c r="F95" s="67">
        <f>IF(D95-E95&lt;0,0,D95-E95)</f>
        <v>152</v>
      </c>
      <c r="G95" s="68">
        <f>E95/D95</f>
        <v>0.39200000000000002</v>
      </c>
      <c r="H95" s="51"/>
      <c r="I95" s="51"/>
      <c r="J95" s="51"/>
      <c r="K95" s="51"/>
      <c r="L95" s="51"/>
      <c r="M95" s="51"/>
      <c r="N95" s="51"/>
    </row>
    <row r="96" spans="1:14" ht="16" thickBot="1" x14ac:dyDescent="0.25">
      <c r="H96" s="51"/>
      <c r="I96" s="51"/>
      <c r="J96" s="51"/>
      <c r="K96" s="51"/>
      <c r="L96" s="51"/>
      <c r="M96" s="51"/>
      <c r="N96" s="51"/>
    </row>
    <row r="97" spans="1:16" ht="65" x14ac:dyDescent="0.2">
      <c r="A97" s="52" t="s">
        <v>10</v>
      </c>
      <c r="B97" s="53" t="s">
        <v>8</v>
      </c>
      <c r="C97" s="53" t="s">
        <v>7</v>
      </c>
      <c r="D97" s="53" t="s">
        <v>73</v>
      </c>
      <c r="E97" s="53" t="s">
        <v>74</v>
      </c>
      <c r="F97" s="53" t="s">
        <v>16</v>
      </c>
      <c r="G97" s="54" t="s">
        <v>9</v>
      </c>
      <c r="H97" s="51"/>
      <c r="I97" s="51"/>
      <c r="J97" s="51"/>
      <c r="K97" s="51"/>
      <c r="L97" s="51"/>
      <c r="M97" s="51"/>
      <c r="N97" s="51"/>
    </row>
    <row r="98" spans="1:16" ht="26" x14ac:dyDescent="0.2">
      <c r="A98" s="55" t="s">
        <v>3</v>
      </c>
      <c r="B98" s="32" t="s">
        <v>66</v>
      </c>
      <c r="C98" s="17" t="s">
        <v>42</v>
      </c>
      <c r="D98" s="17">
        <v>459</v>
      </c>
      <c r="E98" s="17">
        <v>186</v>
      </c>
      <c r="F98" s="17">
        <f>IF(D98-E98&lt;0,0,D98-E98)</f>
        <v>273</v>
      </c>
      <c r="G98" s="56">
        <f>E98/D98</f>
        <v>0.40522875816993464</v>
      </c>
      <c r="H98" s="51"/>
      <c r="I98" s="51"/>
      <c r="J98" s="51"/>
      <c r="K98" s="51"/>
      <c r="L98" s="51"/>
      <c r="M98" s="51"/>
      <c r="N98" s="51"/>
    </row>
    <row r="99" spans="1:16" ht="26" x14ac:dyDescent="0.2">
      <c r="A99" s="57" t="s">
        <v>4</v>
      </c>
      <c r="B99" s="34" t="s">
        <v>23</v>
      </c>
      <c r="C99" s="155" t="s">
        <v>42</v>
      </c>
      <c r="D99" s="15">
        <v>3500</v>
      </c>
      <c r="E99" s="15">
        <v>3334</v>
      </c>
      <c r="F99" s="15">
        <f>IF(D99-E99&lt;0,0,D99-E99)</f>
        <v>166</v>
      </c>
      <c r="G99" s="58">
        <f>E99/D99</f>
        <v>0.95257142857142862</v>
      </c>
      <c r="H99" s="51"/>
      <c r="I99" s="51"/>
      <c r="J99" s="51"/>
      <c r="K99" s="51"/>
      <c r="L99" s="51"/>
      <c r="M99" s="51"/>
      <c r="N99" s="51"/>
    </row>
    <row r="100" spans="1:16" ht="26" x14ac:dyDescent="0.2">
      <c r="A100" s="59" t="s">
        <v>11</v>
      </c>
      <c r="B100" s="36" t="s">
        <v>24</v>
      </c>
      <c r="C100" s="156" t="s">
        <v>42</v>
      </c>
      <c r="D100" s="156">
        <v>36290</v>
      </c>
      <c r="E100" s="156">
        <v>35480</v>
      </c>
      <c r="F100" s="156">
        <f>IF(D100-E100&lt;0,0,D100-E100)</f>
        <v>810</v>
      </c>
      <c r="G100" s="60">
        <f>E100/D100</f>
        <v>0.97767980159823642</v>
      </c>
      <c r="J100" s="109"/>
      <c r="K100" s="109"/>
      <c r="L100" s="109"/>
    </row>
    <row r="101" spans="1:16" ht="26" x14ac:dyDescent="0.2">
      <c r="A101" s="61" t="s">
        <v>5</v>
      </c>
      <c r="B101" s="38" t="s">
        <v>67</v>
      </c>
      <c r="C101" s="157" t="s">
        <v>42</v>
      </c>
      <c r="D101" s="11">
        <v>54103</v>
      </c>
      <c r="E101" s="11">
        <v>30124</v>
      </c>
      <c r="F101" s="11">
        <f>IF(D101-E101&lt;0,0,D101-E101)</f>
        <v>23979</v>
      </c>
      <c r="G101" s="62">
        <f>E101/D101</f>
        <v>0.55678982681182188</v>
      </c>
      <c r="J101" s="109"/>
    </row>
    <row r="102" spans="1:16" ht="40" thickBot="1" x14ac:dyDescent="0.25">
      <c r="A102" s="63" t="s">
        <v>6</v>
      </c>
      <c r="B102" s="64" t="s">
        <v>82</v>
      </c>
      <c r="C102" s="65" t="s">
        <v>42</v>
      </c>
      <c r="D102" s="66">
        <v>1500</v>
      </c>
      <c r="E102" s="67">
        <v>1678</v>
      </c>
      <c r="F102" s="67">
        <f>IF(D102-E102&lt;0,0,D102-E102)</f>
        <v>0</v>
      </c>
      <c r="G102" s="68">
        <f>E102/D102</f>
        <v>1.1186666666666667</v>
      </c>
    </row>
    <row r="103" spans="1:16" ht="16" thickBot="1" x14ac:dyDescent="0.25"/>
    <row r="104" spans="1:16" ht="65" x14ac:dyDescent="0.2">
      <c r="A104" s="52" t="s">
        <v>10</v>
      </c>
      <c r="B104" s="53" t="s">
        <v>8</v>
      </c>
      <c r="C104" s="53" t="s">
        <v>7</v>
      </c>
      <c r="D104" s="53" t="s">
        <v>73</v>
      </c>
      <c r="E104" s="53" t="s">
        <v>74</v>
      </c>
      <c r="F104" s="53" t="s">
        <v>16</v>
      </c>
      <c r="G104" s="54" t="s">
        <v>9</v>
      </c>
    </row>
    <row r="105" spans="1:16" ht="26" x14ac:dyDescent="0.2">
      <c r="A105" s="55" t="s">
        <v>3</v>
      </c>
      <c r="B105" s="32" t="s">
        <v>66</v>
      </c>
      <c r="C105" s="17" t="s">
        <v>37</v>
      </c>
      <c r="D105" s="17">
        <v>200</v>
      </c>
      <c r="E105" s="17">
        <v>0</v>
      </c>
      <c r="F105" s="17">
        <f>IF(D105-E105&lt;0,0,D105-E105)</f>
        <v>200</v>
      </c>
      <c r="G105" s="56">
        <f>E105/D105</f>
        <v>0</v>
      </c>
      <c r="P105" s="174" t="s">
        <v>110</v>
      </c>
    </row>
    <row r="106" spans="1:16" ht="26" x14ac:dyDescent="0.2">
      <c r="A106" s="57" t="s">
        <v>4</v>
      </c>
      <c r="B106" s="34" t="s">
        <v>23</v>
      </c>
      <c r="C106" s="163" t="s">
        <v>37</v>
      </c>
      <c r="D106" s="15">
        <v>4000</v>
      </c>
      <c r="E106" s="15">
        <v>0</v>
      </c>
      <c r="F106" s="15">
        <f>IF(D106-E106&lt;0,0,D106-E106)</f>
        <v>4000</v>
      </c>
      <c r="G106" s="58">
        <f>E106/D106</f>
        <v>0</v>
      </c>
    </row>
    <row r="107" spans="1:16" ht="26" x14ac:dyDescent="0.2">
      <c r="A107" s="59" t="s">
        <v>11</v>
      </c>
      <c r="B107" s="36" t="s">
        <v>24</v>
      </c>
      <c r="C107" s="161" t="s">
        <v>37</v>
      </c>
      <c r="D107" s="161">
        <v>1600</v>
      </c>
      <c r="E107" s="161">
        <v>0</v>
      </c>
      <c r="F107" s="161">
        <f>IF(D107-E107&lt;0,0,D107-E107)</f>
        <v>1600</v>
      </c>
      <c r="G107" s="60">
        <f>E107/D107</f>
        <v>0</v>
      </c>
    </row>
    <row r="108" spans="1:16" ht="26" x14ac:dyDescent="0.2">
      <c r="A108" s="61" t="s">
        <v>5</v>
      </c>
      <c r="B108" s="38" t="s">
        <v>67</v>
      </c>
      <c r="C108" s="162" t="s">
        <v>37</v>
      </c>
      <c r="D108" s="11">
        <v>10000</v>
      </c>
      <c r="E108" s="11">
        <v>0</v>
      </c>
      <c r="F108" s="11">
        <f>IF(D108-E108&lt;0,0,D108-E108)</f>
        <v>10000</v>
      </c>
      <c r="G108" s="62">
        <f>E108/D108</f>
        <v>0</v>
      </c>
    </row>
    <row r="109" spans="1:16" ht="40" thickBot="1" x14ac:dyDescent="0.25">
      <c r="A109" s="63" t="s">
        <v>6</v>
      </c>
      <c r="B109" s="64" t="s">
        <v>82</v>
      </c>
      <c r="C109" s="65" t="s">
        <v>37</v>
      </c>
      <c r="D109" s="66">
        <v>250</v>
      </c>
      <c r="E109" s="67">
        <v>0</v>
      </c>
      <c r="F109" s="67">
        <f>IF(D109-E109&lt;0,0,D109-E109)</f>
        <v>250</v>
      </c>
      <c r="G109" s="68">
        <f>E109/D109</f>
        <v>0</v>
      </c>
    </row>
    <row r="110" spans="1:16" ht="16" thickBot="1" x14ac:dyDescent="0.25"/>
    <row r="111" spans="1:16" ht="65" x14ac:dyDescent="0.2">
      <c r="A111" s="52" t="s">
        <v>10</v>
      </c>
      <c r="B111" s="53" t="s">
        <v>8</v>
      </c>
      <c r="C111" s="53" t="s">
        <v>7</v>
      </c>
      <c r="D111" s="53" t="s">
        <v>73</v>
      </c>
      <c r="E111" s="53" t="s">
        <v>74</v>
      </c>
      <c r="F111" s="53" t="s">
        <v>16</v>
      </c>
      <c r="G111" s="54" t="s">
        <v>9</v>
      </c>
    </row>
    <row r="112" spans="1:16" ht="26" x14ac:dyDescent="0.2">
      <c r="A112" s="55" t="s">
        <v>3</v>
      </c>
      <c r="B112" s="32" t="s">
        <v>66</v>
      </c>
      <c r="C112" s="17" t="s">
        <v>56</v>
      </c>
      <c r="D112" s="17">
        <v>1172</v>
      </c>
      <c r="E112" s="17">
        <v>0</v>
      </c>
      <c r="F112" s="17"/>
      <c r="G112" s="56">
        <f>E112/D112</f>
        <v>0</v>
      </c>
    </row>
    <row r="113" spans="1:8" ht="26" x14ac:dyDescent="0.2">
      <c r="A113" s="57" t="s">
        <v>4</v>
      </c>
      <c r="B113" s="34" t="s">
        <v>23</v>
      </c>
      <c r="C113" s="163" t="s">
        <v>56</v>
      </c>
      <c r="D113" s="15">
        <v>0</v>
      </c>
      <c r="E113" s="15">
        <v>0</v>
      </c>
      <c r="F113" s="15"/>
      <c r="G113" s="58" t="e">
        <f>E113/D113</f>
        <v>#DIV/0!</v>
      </c>
      <c r="H113" s="173" t="s">
        <v>104</v>
      </c>
    </row>
    <row r="114" spans="1:8" ht="26" x14ac:dyDescent="0.2">
      <c r="A114" s="59" t="s">
        <v>11</v>
      </c>
      <c r="B114" s="36" t="s">
        <v>24</v>
      </c>
      <c r="C114" s="161" t="s">
        <v>56</v>
      </c>
      <c r="D114" s="161">
        <v>5000</v>
      </c>
      <c r="E114" s="161">
        <v>0</v>
      </c>
      <c r="F114" s="161"/>
      <c r="G114" s="60">
        <f>E114/D114</f>
        <v>0</v>
      </c>
    </row>
    <row r="115" spans="1:8" ht="26" x14ac:dyDescent="0.2">
      <c r="A115" s="61" t="s">
        <v>5</v>
      </c>
      <c r="B115" s="38" t="s">
        <v>67</v>
      </c>
      <c r="C115" s="162" t="s">
        <v>56</v>
      </c>
      <c r="D115" s="11">
        <v>15000</v>
      </c>
      <c r="E115" s="11">
        <v>3000</v>
      </c>
      <c r="F115" s="11"/>
      <c r="G115" s="62">
        <f>E115/D115</f>
        <v>0.2</v>
      </c>
      <c r="H115" s="173" t="s">
        <v>100</v>
      </c>
    </row>
    <row r="116" spans="1:8" ht="40" thickBot="1" x14ac:dyDescent="0.25">
      <c r="A116" s="63" t="s">
        <v>6</v>
      </c>
      <c r="B116" s="64" t="s">
        <v>81</v>
      </c>
      <c r="C116" s="65" t="s">
        <v>56</v>
      </c>
      <c r="D116" s="66">
        <v>8600</v>
      </c>
      <c r="E116" s="67">
        <v>1200</v>
      </c>
      <c r="F116" s="67"/>
      <c r="G116" s="68">
        <f>E116/D116</f>
        <v>0.13953488372093023</v>
      </c>
    </row>
  </sheetData>
  <conditionalFormatting sqref="G10 G13 G23:G27 G2:G6 G16:G20">
    <cfRule type="dataBar" priority="10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{26ABEE1D-BE44-4858-87C3-6E6B14542CE1}</x14:id>
        </ext>
      </extLst>
    </cfRule>
  </conditionalFormatting>
  <conditionalFormatting sqref="G9 G11">
    <cfRule type="dataBar" priority="10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{0767A3B3-D4C7-4F45-A074-E063533E90EC}</x14:id>
        </ext>
      </extLst>
    </cfRule>
  </conditionalFormatting>
  <conditionalFormatting sqref="G12">
    <cfRule type="dataBar" priority="10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{A746AE2D-7174-405A-8DCC-BF58492DA7FF}</x14:id>
        </ext>
      </extLst>
    </cfRule>
  </conditionalFormatting>
  <conditionalFormatting sqref="G51">
    <cfRule type="dataBar" priority="8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{E27FBD87-35D0-458E-9DCD-01A4506231C9}</x14:id>
        </ext>
      </extLst>
    </cfRule>
  </conditionalFormatting>
  <conditionalFormatting sqref="G46">
    <cfRule type="dataBar" priority="8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{BA20D354-5FBB-4F68-9AE6-8C895B0E4A22}</x14:id>
        </ext>
      </extLst>
    </cfRule>
  </conditionalFormatting>
  <conditionalFormatting sqref="G48">
    <cfRule type="dataBar" priority="8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{BF950E25-14CF-4C63-92A0-B5370F11855B}</x14:id>
        </ext>
      </extLst>
    </cfRule>
  </conditionalFormatting>
  <conditionalFormatting sqref="G47">
    <cfRule type="dataBar" priority="8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{8144B2BB-2C8C-4BB1-B589-011E1DEE5E04}</x14:id>
        </ext>
      </extLst>
    </cfRule>
  </conditionalFormatting>
  <conditionalFormatting sqref="G49">
    <cfRule type="dataBar" priority="8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{E2369A74-7E2F-4660-9A5E-A27A334AE5D6}</x14:id>
        </ext>
      </extLst>
    </cfRule>
  </conditionalFormatting>
  <conditionalFormatting sqref="G54">
    <cfRule type="dataBar" priority="6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{4A1928FD-C2C2-4742-A44A-FFD7927AD85B}</x14:id>
        </ext>
      </extLst>
    </cfRule>
  </conditionalFormatting>
  <conditionalFormatting sqref="G56">
    <cfRule type="dataBar" priority="6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{351D14FB-1509-4520-AD28-6483D83E448D}</x14:id>
        </ext>
      </extLst>
    </cfRule>
  </conditionalFormatting>
  <conditionalFormatting sqref="G57">
    <cfRule type="dataBar" priority="6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{B6C62646-FC54-4C89-987A-23241733E5DD}</x14:id>
        </ext>
      </extLst>
    </cfRule>
  </conditionalFormatting>
  <conditionalFormatting sqref="G58">
    <cfRule type="dataBar" priority="6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{C610A8E8-BBB7-43A3-A373-5E7E47A25C6A}</x14:id>
        </ext>
      </extLst>
    </cfRule>
  </conditionalFormatting>
  <conditionalFormatting sqref="G55">
    <cfRule type="dataBar" priority="6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{C5A3C941-D634-4BB6-AD1E-A5A0B8C85451}</x14:id>
        </ext>
      </extLst>
    </cfRule>
  </conditionalFormatting>
  <conditionalFormatting sqref="G77">
    <cfRule type="dataBar" priority="5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{8ACFBAAC-9879-4696-AFE5-6D9B6CC3814A}</x14:id>
        </ext>
      </extLst>
    </cfRule>
  </conditionalFormatting>
  <conditionalFormatting sqref="G81">
    <cfRule type="dataBar" priority="5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{F52C4A93-EB94-415C-85BD-DBB964868A86}</x14:id>
        </ext>
      </extLst>
    </cfRule>
  </conditionalFormatting>
  <conditionalFormatting sqref="G79">
    <cfRule type="dataBar" priority="5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{29C1A338-4CB0-4DE2-9D8E-7877B54E3C6F}</x14:id>
        </ext>
      </extLst>
    </cfRule>
  </conditionalFormatting>
  <conditionalFormatting sqref="G78">
    <cfRule type="dataBar" priority="5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{9F923450-22E7-4764-A0E6-65DDCE9B8475}</x14:id>
        </ext>
      </extLst>
    </cfRule>
  </conditionalFormatting>
  <conditionalFormatting sqref="G80">
    <cfRule type="dataBar" priority="5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{D19686F5-428C-4029-BA80-BCB6C1BA04FC}</x14:id>
        </ext>
      </extLst>
    </cfRule>
  </conditionalFormatting>
  <conditionalFormatting sqref="G30:G33 G35">
    <cfRule type="dataBar" priority="5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{215FDB88-7138-4341-82F2-60F5C9828A79}</x14:id>
        </ext>
      </extLst>
    </cfRule>
  </conditionalFormatting>
  <conditionalFormatting sqref="G38">
    <cfRule type="dataBar" priority="4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{78E282E1-4F8B-4D45-8BFD-0B38910853F4}</x14:id>
        </ext>
      </extLst>
    </cfRule>
  </conditionalFormatting>
  <conditionalFormatting sqref="G40">
    <cfRule type="dataBar" priority="4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{2016F2E4-A23D-4978-A70F-C1489AB93DD1}</x14:id>
        </ext>
      </extLst>
    </cfRule>
  </conditionalFormatting>
  <conditionalFormatting sqref="G43">
    <cfRule type="dataBar" priority="4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{4FAECE53-7BAD-4D03-A4CB-A14B1BE52FDD}</x14:id>
        </ext>
      </extLst>
    </cfRule>
  </conditionalFormatting>
  <conditionalFormatting sqref="G39">
    <cfRule type="dataBar" priority="4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{71457924-83BA-45CF-9DF8-31C3647AD51E}</x14:id>
        </ext>
      </extLst>
    </cfRule>
  </conditionalFormatting>
  <conditionalFormatting sqref="G41">
    <cfRule type="dataBar" priority="4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{472C7C84-317B-4894-A1DB-7D4F9A81B6C5}</x14:id>
        </ext>
      </extLst>
    </cfRule>
  </conditionalFormatting>
  <conditionalFormatting sqref="G50">
    <cfRule type="dataBar" priority="4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{A457D50C-301B-4FD5-9021-B8932F9FDFAA}</x14:id>
        </ext>
      </extLst>
    </cfRule>
  </conditionalFormatting>
  <conditionalFormatting sqref="G42">
    <cfRule type="dataBar" priority="4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{70425234-BC55-4594-B16F-C227BD89F48C}</x14:id>
        </ext>
      </extLst>
    </cfRule>
  </conditionalFormatting>
  <conditionalFormatting sqref="G34">
    <cfRule type="dataBar" priority="3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{6562A8C4-A578-4475-A12A-C35FCAD4F467}</x14:id>
        </ext>
      </extLst>
    </cfRule>
  </conditionalFormatting>
  <conditionalFormatting sqref="G61">
    <cfRule type="dataBar" priority="3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{1D5160DC-69C6-412F-89D2-6FDE26A58F09}</x14:id>
        </ext>
      </extLst>
    </cfRule>
  </conditionalFormatting>
  <conditionalFormatting sqref="G63">
    <cfRule type="dataBar" priority="3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{0AFF2C6D-C057-4CD3-A40D-466754BA4068}</x14:id>
        </ext>
      </extLst>
    </cfRule>
  </conditionalFormatting>
  <conditionalFormatting sqref="G64">
    <cfRule type="dataBar" priority="3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{CCEE6EA0-A489-4877-972C-3F737545D5A8}</x14:id>
        </ext>
      </extLst>
    </cfRule>
  </conditionalFormatting>
  <conditionalFormatting sqref="G62">
    <cfRule type="dataBar" priority="3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{E56AFAEE-D5F8-4255-BC9E-99113684E1E9}</x14:id>
        </ext>
      </extLst>
    </cfRule>
  </conditionalFormatting>
  <conditionalFormatting sqref="G65">
    <cfRule type="dataBar" priority="3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{758A8449-011F-4D70-9F40-815647BC590B}</x14:id>
        </ext>
      </extLst>
    </cfRule>
  </conditionalFormatting>
  <conditionalFormatting sqref="G84">
    <cfRule type="dataBar" priority="3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{867A4B08-8012-4007-8951-E1A363492E80}</x14:id>
        </ext>
      </extLst>
    </cfRule>
  </conditionalFormatting>
  <conditionalFormatting sqref="G88">
    <cfRule type="dataBar" priority="3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{A4C8DE9F-184C-42BF-A6E3-C6F6761D8E7B}</x14:id>
        </ext>
      </extLst>
    </cfRule>
  </conditionalFormatting>
  <conditionalFormatting sqref="G86">
    <cfRule type="dataBar" priority="3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{9EA019B3-BA33-455D-A942-C069A000555F}</x14:id>
        </ext>
      </extLst>
    </cfRule>
  </conditionalFormatting>
  <conditionalFormatting sqref="G85">
    <cfRule type="dataBar" priority="2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{45348FBB-0B45-4B49-B3E9-EF9B25EC40DE}</x14:id>
        </ext>
      </extLst>
    </cfRule>
  </conditionalFormatting>
  <conditionalFormatting sqref="G87">
    <cfRule type="dataBar" priority="2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{85B3C352-BF43-4279-B5F8-E9DC7ACB08D7}</x14:id>
        </ext>
      </extLst>
    </cfRule>
  </conditionalFormatting>
  <conditionalFormatting sqref="G91">
    <cfRule type="dataBar" priority="2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{DFDF2ACC-DDB4-4CC8-BD8B-2FFEDC6CC19A}</x14:id>
        </ext>
      </extLst>
    </cfRule>
  </conditionalFormatting>
  <conditionalFormatting sqref="G95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{A0BF10E6-3907-4EC0-9AB1-5BD8BFBDB6F7}</x14:id>
        </ext>
      </extLst>
    </cfRule>
  </conditionalFormatting>
  <conditionalFormatting sqref="G93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{66CFA11B-E1C2-43B8-8317-90DFA589DD7E}</x14:id>
        </ext>
      </extLst>
    </cfRule>
  </conditionalFormatting>
  <conditionalFormatting sqref="G92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{93FD8876-7F61-420E-90B9-DFA6B287E757}</x14:id>
        </ext>
      </extLst>
    </cfRule>
  </conditionalFormatting>
  <conditionalFormatting sqref="G94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{34888774-CCD4-4AF0-A342-39C7031EBAA9}</x14:id>
        </ext>
      </extLst>
    </cfRule>
  </conditionalFormatting>
  <conditionalFormatting sqref="G98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{1B1995CA-199D-47DC-A6C9-38ED98894E16}</x14:id>
        </ext>
      </extLst>
    </cfRule>
  </conditionalFormatting>
  <conditionalFormatting sqref="G102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{4EAECB0E-61C2-4B9F-B9DC-F676509F5485}</x14:id>
        </ext>
      </extLst>
    </cfRule>
  </conditionalFormatting>
  <conditionalFormatting sqref="G10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{A474D6BA-A46D-44AF-A884-671CFE1016E5}</x14:id>
        </ext>
      </extLst>
    </cfRule>
  </conditionalFormatting>
  <conditionalFormatting sqref="G99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{4A2A20C8-4F4E-47F1-8AB5-E66AA913793C}</x14:id>
        </ext>
      </extLst>
    </cfRule>
  </conditionalFormatting>
  <conditionalFormatting sqref="G101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{1459D00F-9AE3-4C5C-9626-49CF5F1285F5}</x14:id>
        </ext>
      </extLst>
    </cfRule>
  </conditionalFormatting>
  <conditionalFormatting sqref="G70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{5E601447-7D42-45B1-8E3C-1CF77419F88A}</x14:id>
        </ext>
      </extLst>
    </cfRule>
  </conditionalFormatting>
  <conditionalFormatting sqref="G74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{56E8284E-BEDA-452C-AF14-49CC84F15F9C}</x14:id>
        </ext>
      </extLst>
    </cfRule>
  </conditionalFormatting>
  <conditionalFormatting sqref="G72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{EE3131E8-4431-4AD7-8F44-D29EFED82E0C}</x14:id>
        </ext>
      </extLst>
    </cfRule>
  </conditionalFormatting>
  <conditionalFormatting sqref="G71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{D926C613-6BF9-4B8A-90CB-B21F3B3DC5CD}</x14:id>
        </ext>
      </extLst>
    </cfRule>
  </conditionalFormatting>
  <conditionalFormatting sqref="G73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{39FF5E0E-9CBB-429C-A903-C83FB270387C}</x14:id>
        </ext>
      </extLst>
    </cfRule>
  </conditionalFormatting>
  <conditionalFormatting sqref="G105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{5FE1BCAB-7880-4669-8F67-E2592B0AE55C}</x14:id>
        </ext>
      </extLst>
    </cfRule>
  </conditionalFormatting>
  <conditionalFormatting sqref="G109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{EC8E9B8D-43D3-4345-8CF0-3ED7BA010E3D}</x14:id>
        </ext>
      </extLst>
    </cfRule>
  </conditionalFormatting>
  <conditionalFormatting sqref="G107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{68B39820-92AB-4431-BEBF-BDEB4B85554F}</x14:id>
        </ext>
      </extLst>
    </cfRule>
  </conditionalFormatting>
  <conditionalFormatting sqref="G106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{BBC47BE7-D33C-4B26-B56B-E9FFB74612AD}</x14:id>
        </ext>
      </extLst>
    </cfRule>
  </conditionalFormatting>
  <conditionalFormatting sqref="G108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{13C60FCB-D1F3-4E69-BEB2-185159AE6018}</x14:id>
        </ext>
      </extLst>
    </cfRule>
  </conditionalFormatting>
  <conditionalFormatting sqref="G11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{2A6E5313-89EA-466D-A6FB-51105CF8B93A}</x14:id>
        </ext>
      </extLst>
    </cfRule>
  </conditionalFormatting>
  <conditionalFormatting sqref="G116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{C7FCECA8-80D6-40D3-9E3B-AFDA09B78BD5}</x14:id>
        </ext>
      </extLst>
    </cfRule>
  </conditionalFormatting>
  <conditionalFormatting sqref="G114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{B3166FFE-3488-4D5A-9902-D3E38E81FA89}</x14:id>
        </ext>
      </extLst>
    </cfRule>
  </conditionalFormatting>
  <conditionalFormatting sqref="G113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{EA78C5C3-68F9-4391-BDDC-61B836C67B16}</x14:id>
        </ext>
      </extLst>
    </cfRule>
  </conditionalFormatting>
  <conditionalFormatting sqref="G115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{6E5BB017-B137-4094-BA96-E1FEF05108B4}</x14:id>
        </ext>
      </extLst>
    </cfRule>
  </conditionalFormatting>
  <conditionalFormatting sqref="R47:R5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{0D663875-EC14-4673-ADED-436C088FF658}</x14:id>
        </ext>
      </extLst>
    </cfRule>
  </conditionalFormatting>
  <conditionalFormatting sqref="U5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{4AD757AD-521E-423E-BE08-257BBAAC093D}</x14:id>
        </ext>
      </extLst>
    </cfRule>
  </conditionalFormatting>
  <pageMargins left="0.7" right="0.7" top="0.75" bottom="0.75" header="0.3" footer="0.3"/>
  <pageSetup paperSize="9" scale="59" orientation="portrait" r:id="rId1"/>
  <ignoredErrors>
    <ignoredError sqref="D33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ABEE1D-BE44-4858-87C3-6E6B14542CE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 G13 G23:G27 G2:G6 G16:G20</xm:sqref>
        </x14:conditionalFormatting>
        <x14:conditionalFormatting xmlns:xm="http://schemas.microsoft.com/office/excel/2006/main">
          <x14:cfRule type="dataBar" id="{0767A3B3-D4C7-4F45-A074-E063533E90E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 G11</xm:sqref>
        </x14:conditionalFormatting>
        <x14:conditionalFormatting xmlns:xm="http://schemas.microsoft.com/office/excel/2006/main">
          <x14:cfRule type="dataBar" id="{A746AE2D-7174-405A-8DCC-BF58492DA7F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7FBD87-35D0-458E-9DCD-01A4506231C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BA20D354-5FBB-4F68-9AE6-8C895B0E4A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BF950E25-14CF-4C63-92A0-B5370F1185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144B2BB-2C8C-4BB1-B589-011E1DEE5E0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2369A74-7E2F-4660-9A5E-A27A334AE5D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1928FD-C2C2-4742-A44A-FFD7927AD8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51D14FB-1509-4520-AD28-6483D83E448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B6C62646-FC54-4C89-987A-23241733E5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C610A8E8-BBB7-43A3-A373-5E7E47A25C6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5A3C941-D634-4BB6-AD1E-A5A0B8C8545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8ACFBAAC-9879-4696-AFE5-6D9B6CC3814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</xm:sqref>
        </x14:conditionalFormatting>
        <x14:conditionalFormatting xmlns:xm="http://schemas.microsoft.com/office/excel/2006/main">
          <x14:cfRule type="dataBar" id="{F52C4A93-EB94-415C-85BD-DBB964868A8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  <x14:conditionalFormatting xmlns:xm="http://schemas.microsoft.com/office/excel/2006/main">
          <x14:cfRule type="dataBar" id="{29C1A338-4CB0-4DE2-9D8E-7877B54E3C6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9F923450-22E7-4764-A0E6-65DDCE9B847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D19686F5-428C-4029-BA80-BCB6C1BA04F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215FDB88-7138-4341-82F2-60F5C9828A7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G30:G33 G35</xm:sqref>
        </x14:conditionalFormatting>
        <x14:conditionalFormatting xmlns:xm="http://schemas.microsoft.com/office/excel/2006/main">
          <x14:cfRule type="dataBar" id="{78E282E1-4F8B-4D45-8BFD-0B38910853F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2016F2E4-A23D-4978-A70F-C1489AB93DD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4FAECE53-7BAD-4D03-A4CB-A14B1BE52F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71457924-83BA-45CF-9DF8-31C3647AD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472C7C84-317B-4894-A1DB-7D4F9A81B6C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457D50C-301B-4FD5-9021-B8932F9FDFA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70425234-BC55-4594-B16F-C227BD89F48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562A8C4-A578-4475-A12A-C35FCAD4F46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1D5160DC-69C6-412F-89D2-6FDE26A58F0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0AFF2C6D-C057-4CD3-A40D-466754BA40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CCEE6EA0-A489-4877-972C-3F737545D5A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E56AFAEE-D5F8-4255-BC9E-99113684E1E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758A8449-011F-4D70-9F40-815647BC590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867A4B08-8012-4007-8951-E1A363492E8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G84</xm:sqref>
        </x14:conditionalFormatting>
        <x14:conditionalFormatting xmlns:xm="http://schemas.microsoft.com/office/excel/2006/main">
          <x14:cfRule type="dataBar" id="{A4C8DE9F-184C-42BF-A6E3-C6F6761D8E7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G88</xm:sqref>
        </x14:conditionalFormatting>
        <x14:conditionalFormatting xmlns:xm="http://schemas.microsoft.com/office/excel/2006/main">
          <x14:cfRule type="dataBar" id="{9EA019B3-BA33-455D-A942-C069A00055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G86</xm:sqref>
        </x14:conditionalFormatting>
        <x14:conditionalFormatting xmlns:xm="http://schemas.microsoft.com/office/excel/2006/main">
          <x14:cfRule type="dataBar" id="{45348FBB-0B45-4B49-B3E9-EF9B25EC40D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85B3C352-BF43-4279-B5F8-E9DC7ACB08D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DFDF2ACC-DDB4-4CC8-BD8B-2FFEDC6CC19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A0BF10E6-3907-4EC0-9AB1-5BD8BFBDB6F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G95</xm:sqref>
        </x14:conditionalFormatting>
        <x14:conditionalFormatting xmlns:xm="http://schemas.microsoft.com/office/excel/2006/main">
          <x14:cfRule type="dataBar" id="{66CFA11B-E1C2-43B8-8317-90DFA589DD7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G93</xm:sqref>
        </x14:conditionalFormatting>
        <x14:conditionalFormatting xmlns:xm="http://schemas.microsoft.com/office/excel/2006/main">
          <x14:cfRule type="dataBar" id="{93FD8876-7F61-420E-90B9-DFA6B287E75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34888774-CCD4-4AF0-A342-39C7031EBAA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G94</xm:sqref>
        </x14:conditionalFormatting>
        <x14:conditionalFormatting xmlns:xm="http://schemas.microsoft.com/office/excel/2006/main">
          <x14:cfRule type="dataBar" id="{1B1995CA-199D-47DC-A6C9-38ED98894E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G98</xm:sqref>
        </x14:conditionalFormatting>
        <x14:conditionalFormatting xmlns:xm="http://schemas.microsoft.com/office/excel/2006/main">
          <x14:cfRule type="dataBar" id="{4EAECB0E-61C2-4B9F-B9DC-F676509F548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G102</xm:sqref>
        </x14:conditionalFormatting>
        <x14:conditionalFormatting xmlns:xm="http://schemas.microsoft.com/office/excel/2006/main">
          <x14:cfRule type="dataBar" id="{A474D6BA-A46D-44AF-A884-671CFE1016E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G100</xm:sqref>
        </x14:conditionalFormatting>
        <x14:conditionalFormatting xmlns:xm="http://schemas.microsoft.com/office/excel/2006/main">
          <x14:cfRule type="dataBar" id="{4A2A20C8-4F4E-47F1-8AB5-E66AA913793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1459D00F-9AE3-4C5C-9626-49CF5F1285F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G101</xm:sqref>
        </x14:conditionalFormatting>
        <x14:conditionalFormatting xmlns:xm="http://schemas.microsoft.com/office/excel/2006/main">
          <x14:cfRule type="dataBar" id="{5E601447-7D42-45B1-8E3C-1CF77419F88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56E8284E-BEDA-452C-AF14-49CC84F15F9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EE3131E8-4431-4AD7-8F44-D29EFED82E0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D926C613-6BF9-4B8A-90CB-B21F3B3DC5C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39FF5E0E-9CBB-429C-A903-C83FB270387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5FE1BCAB-7880-4669-8F67-E2592B0AE55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G105</xm:sqref>
        </x14:conditionalFormatting>
        <x14:conditionalFormatting xmlns:xm="http://schemas.microsoft.com/office/excel/2006/main">
          <x14:cfRule type="dataBar" id="{EC8E9B8D-43D3-4345-8CF0-3ED7BA010E3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G109</xm:sqref>
        </x14:conditionalFormatting>
        <x14:conditionalFormatting xmlns:xm="http://schemas.microsoft.com/office/excel/2006/main">
          <x14:cfRule type="dataBar" id="{68B39820-92AB-4431-BEBF-BDEB4B85554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G107</xm:sqref>
        </x14:conditionalFormatting>
        <x14:conditionalFormatting xmlns:xm="http://schemas.microsoft.com/office/excel/2006/main">
          <x14:cfRule type="dataBar" id="{BBC47BE7-D33C-4B26-B56B-E9FFB74612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13C60FCB-D1F3-4E69-BEB2-185159AE601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G108</xm:sqref>
        </x14:conditionalFormatting>
        <x14:conditionalFormatting xmlns:xm="http://schemas.microsoft.com/office/excel/2006/main">
          <x14:cfRule type="dataBar" id="{2A6E5313-89EA-466D-A6FB-51105CF8B93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G112</xm:sqref>
        </x14:conditionalFormatting>
        <x14:conditionalFormatting xmlns:xm="http://schemas.microsoft.com/office/excel/2006/main">
          <x14:cfRule type="dataBar" id="{C7FCECA8-80D6-40D3-9E3B-AFDA09B78BD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3166FFE-3488-4D5A-9902-D3E38E81FA8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G114</xm:sqref>
        </x14:conditionalFormatting>
        <x14:conditionalFormatting xmlns:xm="http://schemas.microsoft.com/office/excel/2006/main">
          <x14:cfRule type="dataBar" id="{EA78C5C3-68F9-4391-BDDC-61B836C67B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6E5BB017-B137-4094-BA96-E1FEF05108B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G115</xm:sqref>
        </x14:conditionalFormatting>
        <x14:conditionalFormatting xmlns:xm="http://schemas.microsoft.com/office/excel/2006/main">
          <x14:cfRule type="dataBar" id="{0D663875-EC14-4673-ADED-436C088FF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R47:R51</xm:sqref>
        </x14:conditionalFormatting>
        <x14:conditionalFormatting xmlns:xm="http://schemas.microsoft.com/office/excel/2006/main">
          <x14:cfRule type="dataBar" id="{4AD757AD-521E-423E-BE08-257BBAAC09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L22" sqref="L22"/>
    </sheetView>
  </sheetViews>
  <sheetFormatPr baseColWidth="10" defaultColWidth="8.83203125" defaultRowHeight="15" x14ac:dyDescent="0.2"/>
  <cols>
    <col min="2" max="2" width="29.1640625" customWidth="1"/>
    <col min="3" max="3" width="10" bestFit="1" customWidth="1"/>
    <col min="4" max="4" width="22.1640625" customWidth="1"/>
    <col min="5" max="5" width="25.5" customWidth="1"/>
    <col min="7" max="7" width="17.83203125" customWidth="1"/>
    <col min="9" max="9" width="15.1640625" customWidth="1"/>
    <col min="10" max="10" width="23.1640625" customWidth="1"/>
    <col min="12" max="12" width="25.5" customWidth="1"/>
    <col min="13" max="13" width="20.1640625" customWidth="1"/>
    <col min="15" max="15" width="14.33203125" customWidth="1"/>
  </cols>
  <sheetData>
    <row r="1" spans="1:15" ht="52" x14ac:dyDescent="0.2">
      <c r="A1" s="243" t="s">
        <v>10</v>
      </c>
      <c r="B1" s="244" t="s">
        <v>8</v>
      </c>
      <c r="C1" s="244" t="s">
        <v>7</v>
      </c>
      <c r="D1" s="244" t="s">
        <v>101</v>
      </c>
      <c r="E1" s="244" t="s">
        <v>105</v>
      </c>
      <c r="F1" s="244" t="s">
        <v>16</v>
      </c>
      <c r="G1" s="245" t="s">
        <v>9</v>
      </c>
      <c r="I1" s="243" t="s">
        <v>10</v>
      </c>
      <c r="J1" s="244" t="s">
        <v>8</v>
      </c>
      <c r="K1" s="244" t="s">
        <v>7</v>
      </c>
      <c r="L1" s="244" t="s">
        <v>102</v>
      </c>
      <c r="M1" s="244" t="s">
        <v>103</v>
      </c>
      <c r="N1" s="244" t="s">
        <v>16</v>
      </c>
      <c r="O1" s="245" t="s">
        <v>9</v>
      </c>
    </row>
    <row r="2" spans="1:15" ht="26" x14ac:dyDescent="0.2">
      <c r="A2" s="231" t="s">
        <v>3</v>
      </c>
      <c r="B2" s="32" t="s">
        <v>66</v>
      </c>
      <c r="C2" s="17" t="s">
        <v>42</v>
      </c>
      <c r="D2" s="17">
        <f>'Results by country'!D54+'Results by country'!D98</f>
        <v>2563</v>
      </c>
      <c r="E2" s="17">
        <f>'Results by country'!E98+'Results by country'!E54</f>
        <v>1251</v>
      </c>
      <c r="F2" s="17">
        <f>IF(D2-E2&lt;0,0,D2-E2)</f>
        <v>1312</v>
      </c>
      <c r="G2" s="232">
        <f>E2/D2</f>
        <v>0.48809988294966838</v>
      </c>
      <c r="I2" s="231" t="s">
        <v>3</v>
      </c>
      <c r="J2" s="32" t="s">
        <v>66</v>
      </c>
      <c r="K2" s="17" t="s">
        <v>2</v>
      </c>
      <c r="L2" s="17">
        <f>'Results by country'!D23+'Results by country'!D38+'Results by country'!D84</f>
        <v>16014</v>
      </c>
      <c r="M2" s="17">
        <f>'Results by country'!E84+'Results by country'!E38+'Results by country'!E23</f>
        <v>1365</v>
      </c>
      <c r="N2" s="17">
        <f>IF(L2-M2&lt;0,0,L2-M2)</f>
        <v>14649</v>
      </c>
      <c r="O2" s="232">
        <f>M2/L2</f>
        <v>8.5237916822780063E-2</v>
      </c>
    </row>
    <row r="3" spans="1:15" ht="26" x14ac:dyDescent="0.2">
      <c r="A3" s="233" t="s">
        <v>4</v>
      </c>
      <c r="B3" s="34" t="s">
        <v>23</v>
      </c>
      <c r="C3" s="225" t="s">
        <v>42</v>
      </c>
      <c r="D3" s="15">
        <f>'Results by country'!D55+'Results by country'!D99</f>
        <v>35500</v>
      </c>
      <c r="E3" s="15">
        <f>'Results by country'!E99+'Results by country'!E55</f>
        <v>17121</v>
      </c>
      <c r="F3" s="15">
        <f>IF(D3-E3&lt;0,0,D3-E3)</f>
        <v>18379</v>
      </c>
      <c r="G3" s="234">
        <f>E3/D3</f>
        <v>0.48228169014084504</v>
      </c>
      <c r="I3" s="233" t="s">
        <v>4</v>
      </c>
      <c r="J3" s="34" t="s">
        <v>23</v>
      </c>
      <c r="K3" s="225" t="s">
        <v>2</v>
      </c>
      <c r="L3" s="15">
        <f>'Results by country'!D24+'Results by country'!D39+'Results by country'!D85</f>
        <v>776900</v>
      </c>
      <c r="M3" s="15">
        <f>'Results by country'!E85+'Results by country'!E39+'Results by country'!E24</f>
        <v>70626</v>
      </c>
      <c r="N3" s="15">
        <f>IF(L3-M3&lt;0,0,L3-M3)</f>
        <v>706274</v>
      </c>
      <c r="O3" s="234">
        <f>M3/L3</f>
        <v>9.0907452696614752E-2</v>
      </c>
    </row>
    <row r="4" spans="1:15" ht="26" x14ac:dyDescent="0.2">
      <c r="A4" s="235" t="s">
        <v>11</v>
      </c>
      <c r="B4" s="36" t="s">
        <v>24</v>
      </c>
      <c r="C4" s="223" t="s">
        <v>42</v>
      </c>
      <c r="D4" s="223">
        <f>'Results by country'!D56+'Results by country'!D100</f>
        <v>131290</v>
      </c>
      <c r="E4" s="223">
        <f>'Results by country'!E100+'Results by country'!E56</f>
        <v>105715</v>
      </c>
      <c r="F4" s="223">
        <f>IF(D4-E4&lt;0,0,D4-E4)</f>
        <v>25575</v>
      </c>
      <c r="G4" s="236">
        <f>E4/D4</f>
        <v>0.8052022240840887</v>
      </c>
      <c r="I4" s="235" t="s">
        <v>11</v>
      </c>
      <c r="J4" s="36" t="s">
        <v>24</v>
      </c>
      <c r="K4" s="223" t="s">
        <v>2</v>
      </c>
      <c r="L4" s="223">
        <f>'Results by country'!D25+'Results by country'!D40+'Results by country'!D86</f>
        <v>107483</v>
      </c>
      <c r="M4" s="223">
        <f>'Results by country'!E86+'Results by country'!E40+'Results by country'!E25</f>
        <v>33402</v>
      </c>
      <c r="N4" s="223">
        <f>IF(L4-M4&lt;0,0,L4-M4)</f>
        <v>74081</v>
      </c>
      <c r="O4" s="236">
        <f>M4/L4</f>
        <v>0.31076542336927698</v>
      </c>
    </row>
    <row r="5" spans="1:15" ht="26" x14ac:dyDescent="0.2">
      <c r="A5" s="237" t="s">
        <v>5</v>
      </c>
      <c r="B5" s="38" t="s">
        <v>67</v>
      </c>
      <c r="C5" s="224" t="s">
        <v>42</v>
      </c>
      <c r="D5" s="11">
        <f>'Results by country'!D57+'Results by country'!D101</f>
        <v>185353</v>
      </c>
      <c r="E5" s="11">
        <f>'Results by country'!E101+'Results by country'!E57</f>
        <v>167748</v>
      </c>
      <c r="F5" s="11">
        <f>IF(D5-E5&lt;0,0,D5-E5)</f>
        <v>17605</v>
      </c>
      <c r="G5" s="238">
        <f>E5/D5</f>
        <v>0.90501907171720986</v>
      </c>
      <c r="I5" s="237" t="s">
        <v>5</v>
      </c>
      <c r="J5" s="38" t="s">
        <v>67</v>
      </c>
      <c r="K5" s="224" t="s">
        <v>2</v>
      </c>
      <c r="L5" s="11">
        <f>'Results by country'!D26+'Results by country'!D41+'Results by country'!D87</f>
        <v>118000</v>
      </c>
      <c r="M5" s="11">
        <f>'Results by country'!E87+'Results by country'!E41+'Results by country'!E26</f>
        <v>63197</v>
      </c>
      <c r="N5" s="11">
        <f>IF(L5-M5&lt;0,0,L5-M5)</f>
        <v>54803</v>
      </c>
      <c r="O5" s="238">
        <f>M5/L5</f>
        <v>0.53556779661016951</v>
      </c>
    </row>
    <row r="6" spans="1:15" ht="26" x14ac:dyDescent="0.2">
      <c r="A6" s="239" t="s">
        <v>6</v>
      </c>
      <c r="B6" s="240" t="s">
        <v>82</v>
      </c>
      <c r="C6" s="246" t="s">
        <v>42</v>
      </c>
      <c r="D6" s="247">
        <f>'Results by country'!D58+'Results by country'!D102</f>
        <v>7000</v>
      </c>
      <c r="E6" s="241">
        <f>'Results by country'!E102+'Results by country'!E58</f>
        <v>7464</v>
      </c>
      <c r="F6" s="241">
        <f>IF(D6-E6&lt;0,0,D6-E6)</f>
        <v>0</v>
      </c>
      <c r="G6" s="242">
        <f>E6/D6</f>
        <v>1.0662857142857143</v>
      </c>
      <c r="I6" s="239" t="s">
        <v>6</v>
      </c>
      <c r="J6" s="240" t="s">
        <v>26</v>
      </c>
      <c r="K6" s="246" t="s">
        <v>2</v>
      </c>
      <c r="L6" s="247">
        <f>'Results by country'!D27+'Results by country'!D43+'Results by country'!D88</f>
        <v>16544</v>
      </c>
      <c r="M6" s="241">
        <f>'Results by country'!E88+'Results by country'!E43+'Results by country'!E27</f>
        <v>8934</v>
      </c>
      <c r="N6" s="241">
        <f>IF(L6-M6&lt;0,0,L6-M6)</f>
        <v>7610</v>
      </c>
      <c r="O6" s="242">
        <f>M6/L6</f>
        <v>0.54001450676982587</v>
      </c>
    </row>
    <row r="8" spans="1:15" ht="16" thickBot="1" x14ac:dyDescent="0.25"/>
    <row r="9" spans="1:15" ht="39" x14ac:dyDescent="0.2">
      <c r="A9" s="52" t="s">
        <v>10</v>
      </c>
      <c r="B9" s="53" t="s">
        <v>8</v>
      </c>
      <c r="C9" s="53" t="s">
        <v>7</v>
      </c>
      <c r="D9" s="53" t="s">
        <v>101</v>
      </c>
      <c r="E9" s="53" t="s">
        <v>106</v>
      </c>
      <c r="F9" s="53" t="s">
        <v>16</v>
      </c>
      <c r="G9" s="54" t="s">
        <v>9</v>
      </c>
      <c r="I9" s="243" t="s">
        <v>10</v>
      </c>
      <c r="J9" s="244" t="s">
        <v>8</v>
      </c>
      <c r="K9" s="244" t="s">
        <v>7</v>
      </c>
      <c r="L9" s="244" t="s">
        <v>107</v>
      </c>
      <c r="M9" s="244" t="s">
        <v>108</v>
      </c>
      <c r="N9" s="244" t="s">
        <v>16</v>
      </c>
      <c r="O9" s="245" t="s">
        <v>9</v>
      </c>
    </row>
    <row r="10" spans="1:15" ht="26" x14ac:dyDescent="0.2">
      <c r="A10" s="55" t="s">
        <v>3</v>
      </c>
      <c r="B10" s="32" t="s">
        <v>66</v>
      </c>
      <c r="C10" s="17" t="s">
        <v>37</v>
      </c>
      <c r="D10" s="17">
        <f>'Results by country'!D105+'Results by country'!D46</f>
        <v>500</v>
      </c>
      <c r="E10" s="17">
        <f>'Results by country'!E46+'Results by country'!E105</f>
        <v>62</v>
      </c>
      <c r="F10" s="17">
        <f>IF(D10-E10&lt;0,0,D10-E10)</f>
        <v>438</v>
      </c>
      <c r="G10" s="56">
        <f>E10/D10</f>
        <v>0.124</v>
      </c>
      <c r="I10" s="231" t="s">
        <v>3</v>
      </c>
      <c r="J10" s="32" t="s">
        <v>66</v>
      </c>
      <c r="K10" s="17" t="s">
        <v>56</v>
      </c>
      <c r="L10" s="17">
        <f>'Results by country'!D61+'Results by country'!D112</f>
        <v>61172</v>
      </c>
      <c r="M10" s="17">
        <f>'Results by country'!E112+'Results by country'!E61</f>
        <v>0</v>
      </c>
      <c r="N10" s="17">
        <f>IF(L10-M10&lt;0,0,L10-M10)</f>
        <v>61172</v>
      </c>
      <c r="O10" s="232">
        <f>M10/L10</f>
        <v>0</v>
      </c>
    </row>
    <row r="11" spans="1:15" ht="39" x14ac:dyDescent="0.2">
      <c r="A11" s="57" t="s">
        <v>4</v>
      </c>
      <c r="B11" s="34" t="s">
        <v>23</v>
      </c>
      <c r="C11" s="172" t="s">
        <v>37</v>
      </c>
      <c r="D11" s="15">
        <f>'Results by country'!D106+'Results by country'!D47</f>
        <v>13900</v>
      </c>
      <c r="E11" s="15">
        <f>'Results by country'!E47+'Results by country'!E106</f>
        <v>2097</v>
      </c>
      <c r="F11" s="15">
        <f>IF(D11-E11&lt;0,0,D11-E11)</f>
        <v>11803</v>
      </c>
      <c r="G11" s="58">
        <f>E11/D11</f>
        <v>0.15086330935251799</v>
      </c>
      <c r="I11" s="233" t="s">
        <v>4</v>
      </c>
      <c r="J11" s="34" t="s">
        <v>86</v>
      </c>
      <c r="K11" s="225" t="s">
        <v>56</v>
      </c>
      <c r="L11" s="15">
        <f>'Results by country'!D62</f>
        <v>1000000</v>
      </c>
      <c r="M11" s="15">
        <f>'Results by country'!E62</f>
        <v>0</v>
      </c>
      <c r="N11" s="15">
        <f>IF(L11-M11&lt;0,0,L11-M11)</f>
        <v>1000000</v>
      </c>
      <c r="O11" s="234">
        <f>M11/L11</f>
        <v>0</v>
      </c>
    </row>
    <row r="12" spans="1:15" ht="26" x14ac:dyDescent="0.2">
      <c r="A12" s="59" t="s">
        <v>11</v>
      </c>
      <c r="B12" s="36" t="s">
        <v>24</v>
      </c>
      <c r="C12" s="170" t="s">
        <v>37</v>
      </c>
      <c r="D12" s="170">
        <f>'Results by country'!D107+'Results by country'!D48</f>
        <v>20600</v>
      </c>
      <c r="E12" s="170">
        <f>'Results by country'!E48+'Results by country'!E107</f>
        <v>22947</v>
      </c>
      <c r="F12" s="170">
        <f>IF(D12-E12&lt;0,0,D12-E12)</f>
        <v>0</v>
      </c>
      <c r="G12" s="60">
        <f>E12/D12</f>
        <v>1.1139320388349514</v>
      </c>
      <c r="I12" s="235" t="s">
        <v>11</v>
      </c>
      <c r="J12" s="36" t="s">
        <v>24</v>
      </c>
      <c r="K12" s="223" t="s">
        <v>56</v>
      </c>
      <c r="L12" s="223">
        <f>'Results by country'!D63+'Results by country'!D114</f>
        <v>205000</v>
      </c>
      <c r="M12" s="223">
        <f>'Results by country'!E63+'Results by country'!E114</f>
        <v>6883</v>
      </c>
      <c r="N12" s="223">
        <f>IF(L12-M12&lt;0,0,L12-M12)</f>
        <v>198117</v>
      </c>
      <c r="O12" s="236">
        <f>M12/L12</f>
        <v>3.3575609756097559E-2</v>
      </c>
    </row>
    <row r="13" spans="1:15" ht="26" x14ac:dyDescent="0.2">
      <c r="A13" s="61" t="s">
        <v>5</v>
      </c>
      <c r="B13" s="38" t="s">
        <v>67</v>
      </c>
      <c r="C13" s="171" t="s">
        <v>37</v>
      </c>
      <c r="D13" s="11"/>
      <c r="E13" s="11"/>
      <c r="F13" s="11"/>
      <c r="G13" s="62"/>
      <c r="I13" s="237" t="s">
        <v>5</v>
      </c>
      <c r="J13" s="38" t="s">
        <v>67</v>
      </c>
      <c r="K13" s="224" t="s">
        <v>56</v>
      </c>
      <c r="L13" s="11">
        <f>'Results by country'!D115+'Results by country'!D64</f>
        <v>215000</v>
      </c>
      <c r="M13" s="11">
        <f>'Results by country'!E115+'Results by country'!E64</f>
        <v>6000</v>
      </c>
      <c r="N13" s="11">
        <f>IF(L13-M13&lt;0,0,L13-M13)</f>
        <v>209000</v>
      </c>
      <c r="O13" s="238">
        <f>M13/L13</f>
        <v>2.7906976744186046E-2</v>
      </c>
    </row>
    <row r="14" spans="1:15" ht="40" thickBot="1" x14ac:dyDescent="0.25">
      <c r="A14" s="63" t="s">
        <v>6</v>
      </c>
      <c r="B14" s="64" t="s">
        <v>82</v>
      </c>
      <c r="C14" s="65" t="s">
        <v>37</v>
      </c>
      <c r="D14" s="66">
        <f>'Results by country'!D109+'Results by country'!D51</f>
        <v>450</v>
      </c>
      <c r="E14" s="67">
        <f>'Results by country'!E51+'Results by country'!E109</f>
        <v>0</v>
      </c>
      <c r="F14" s="67">
        <f>IF(D14-E14&lt;0,0,D14-E14)</f>
        <v>450</v>
      </c>
      <c r="G14" s="68">
        <f>E14/D14</f>
        <v>0</v>
      </c>
      <c r="I14" s="239" t="s">
        <v>6</v>
      </c>
      <c r="J14" s="240" t="s">
        <v>81</v>
      </c>
      <c r="K14" s="241" t="s">
        <v>56</v>
      </c>
      <c r="L14" s="241">
        <f>'Results by country'!D65+'Results by country'!D116</f>
        <v>108600</v>
      </c>
      <c r="M14" s="241">
        <f>'Results by country'!E65+'Results by country'!E116</f>
        <v>7174</v>
      </c>
      <c r="N14" s="241">
        <f>IF(L14-M14&lt;0,0,L14-M14)</f>
        <v>101426</v>
      </c>
      <c r="O14" s="242">
        <f>M14/L14</f>
        <v>6.6058931860036835E-2</v>
      </c>
    </row>
    <row r="16" spans="1:15" ht="16" thickBot="1" x14ac:dyDescent="0.25"/>
    <row r="17" spans="1:15" ht="39" x14ac:dyDescent="0.2">
      <c r="A17" s="52" t="s">
        <v>10</v>
      </c>
      <c r="B17" s="53" t="s">
        <v>8</v>
      </c>
      <c r="C17" s="53" t="s">
        <v>7</v>
      </c>
      <c r="D17" s="53" t="s">
        <v>101</v>
      </c>
      <c r="E17" s="53" t="s">
        <v>106</v>
      </c>
      <c r="F17" s="53" t="s">
        <v>16</v>
      </c>
      <c r="G17" s="54" t="s">
        <v>9</v>
      </c>
      <c r="I17" s="226" t="s">
        <v>139</v>
      </c>
      <c r="J17" s="227"/>
      <c r="K17" s="227"/>
      <c r="L17" s="227"/>
      <c r="M17" s="227"/>
      <c r="N17" s="227"/>
      <c r="O17" s="228"/>
    </row>
    <row r="18" spans="1:15" ht="39" x14ac:dyDescent="0.2">
      <c r="A18" s="55" t="s">
        <v>3</v>
      </c>
      <c r="B18" s="32" t="s">
        <v>66</v>
      </c>
      <c r="C18" s="17" t="s">
        <v>109</v>
      </c>
      <c r="D18" s="17">
        <f>D2+L2+L10+D10</f>
        <v>80249</v>
      </c>
      <c r="E18" s="17">
        <f>E2+M2+M10+E10</f>
        <v>2678</v>
      </c>
      <c r="F18" s="17">
        <f>IF(D18-E18&lt;0,0,D18-E18)</f>
        <v>77571</v>
      </c>
      <c r="G18" s="56">
        <f>E18/D18</f>
        <v>3.3371132350558885E-2</v>
      </c>
      <c r="I18" s="229" t="s">
        <v>10</v>
      </c>
      <c r="J18" s="6" t="s">
        <v>8</v>
      </c>
      <c r="K18" s="6"/>
      <c r="L18" s="6" t="s">
        <v>107</v>
      </c>
      <c r="M18" s="6" t="s">
        <v>108</v>
      </c>
      <c r="N18" s="6" t="s">
        <v>16</v>
      </c>
      <c r="O18" s="230" t="s">
        <v>9</v>
      </c>
    </row>
    <row r="19" spans="1:15" ht="26" x14ac:dyDescent="0.2">
      <c r="A19" s="57" t="s">
        <v>4</v>
      </c>
      <c r="B19" s="34" t="s">
        <v>23</v>
      </c>
      <c r="C19" s="172" t="s">
        <v>109</v>
      </c>
      <c r="D19" s="15">
        <f>D3+L3+D11</f>
        <v>826300</v>
      </c>
      <c r="E19" s="15">
        <f>E11+M3+E3</f>
        <v>89844</v>
      </c>
      <c r="F19" s="15">
        <f>IF(D19-E19&lt;0,0,D19-E19)</f>
        <v>736456</v>
      </c>
      <c r="G19" s="58">
        <f>E19/D19</f>
        <v>0.10873048529589738</v>
      </c>
      <c r="I19" s="231" t="s">
        <v>3</v>
      </c>
      <c r="J19" s="32" t="s">
        <v>66</v>
      </c>
      <c r="K19" s="17"/>
      <c r="L19" s="17">
        <f>M19+N19</f>
        <v>79077</v>
      </c>
      <c r="M19" s="17">
        <f>24637+62+1251+1365</f>
        <v>27315</v>
      </c>
      <c r="N19" s="17">
        <f>35363+438+1312+14649</f>
        <v>51762</v>
      </c>
      <c r="O19" s="232">
        <f>M19/L19</f>
        <v>0.34542281573656058</v>
      </c>
    </row>
    <row r="20" spans="1:15" ht="26" x14ac:dyDescent="0.2">
      <c r="A20" s="59" t="s">
        <v>11</v>
      </c>
      <c r="B20" s="36" t="s">
        <v>24</v>
      </c>
      <c r="C20" s="170" t="s">
        <v>109</v>
      </c>
      <c r="D20" s="170">
        <f>D12+L12+L4+D4</f>
        <v>464373</v>
      </c>
      <c r="E20" s="170">
        <f>E12+M12+M4+E4</f>
        <v>168947</v>
      </c>
      <c r="F20" s="170">
        <f>IF(D20-E20&lt;0,0,D20-E20)</f>
        <v>295426</v>
      </c>
      <c r="G20" s="60">
        <f>E20/D20</f>
        <v>0.36381744847353314</v>
      </c>
      <c r="I20" s="233" t="s">
        <v>4</v>
      </c>
      <c r="J20" s="34" t="s">
        <v>23</v>
      </c>
      <c r="K20" s="225"/>
      <c r="L20" s="15">
        <f>[3]Uga!C$6+D11+D3+[3]Bdi!C$7</f>
        <v>1826300</v>
      </c>
      <c r="M20" s="15">
        <f>2097+17121+70626</f>
        <v>89844</v>
      </c>
      <c r="N20" s="15">
        <f>1000000+11803+18379+706274</f>
        <v>1736456</v>
      </c>
      <c r="O20" s="234">
        <f>M20/L20</f>
        <v>4.9194546350544814E-2</v>
      </c>
    </row>
    <row r="21" spans="1:15" ht="26" x14ac:dyDescent="0.2">
      <c r="A21" s="61" t="s">
        <v>5</v>
      </c>
      <c r="B21" s="38" t="s">
        <v>67</v>
      </c>
      <c r="C21" s="171" t="s">
        <v>109</v>
      </c>
      <c r="D21" s="11">
        <f>D13+L13+L5+D5</f>
        <v>518353</v>
      </c>
      <c r="E21" s="11">
        <f>E13+M13+M5+E5</f>
        <v>236945</v>
      </c>
      <c r="F21" s="11">
        <f>IF(D21-E21&lt;0,0,D21-E21)</f>
        <v>281408</v>
      </c>
      <c r="G21" s="62">
        <f>E21/D21</f>
        <v>0.45711127359154863</v>
      </c>
      <c r="I21" s="235" t="s">
        <v>11</v>
      </c>
      <c r="J21" s="36" t="s">
        <v>24</v>
      </c>
      <c r="K21" s="223"/>
      <c r="L21" s="223">
        <f>[3]Uga!C$5+D12+D4+[3]Bdi!C$4</f>
        <v>475251</v>
      </c>
      <c r="M21" s="223">
        <f>7721+22947+105715+33402</f>
        <v>169785</v>
      </c>
      <c r="N21" s="223">
        <f>192279+25575+74081</f>
        <v>291935</v>
      </c>
      <c r="O21" s="236">
        <f>M21/L21</f>
        <v>0.3572533250850603</v>
      </c>
    </row>
    <row r="22" spans="1:15" ht="27" thickBot="1" x14ac:dyDescent="0.25">
      <c r="A22" s="63" t="s">
        <v>6</v>
      </c>
      <c r="B22" s="64" t="s">
        <v>82</v>
      </c>
      <c r="C22" s="65" t="s">
        <v>109</v>
      </c>
      <c r="D22" s="66">
        <f>D6+L6+D14</f>
        <v>23994</v>
      </c>
      <c r="E22" s="67">
        <f>E6+M6+E14</f>
        <v>16398</v>
      </c>
      <c r="F22" s="67">
        <f>IF(D22-E22&lt;0,0,D22-E22)</f>
        <v>7596</v>
      </c>
      <c r="G22" s="68">
        <f>E22/D22</f>
        <v>0.68342085521380347</v>
      </c>
      <c r="I22" s="237" t="s">
        <v>5</v>
      </c>
      <c r="J22" s="38" t="s">
        <v>67</v>
      </c>
      <c r="K22" s="224"/>
      <c r="L22" s="11">
        <f>[3]Uga!C$8+D13+D5+[3]Bdi!C$8</f>
        <v>518353</v>
      </c>
      <c r="M22" s="11">
        <f>21255+167748+63197</f>
        <v>252200</v>
      </c>
      <c r="N22" s="11">
        <f>178745+17605+54803</f>
        <v>251153</v>
      </c>
      <c r="O22" s="238">
        <f>M22/L22</f>
        <v>0.48654102513152236</v>
      </c>
    </row>
    <row r="23" spans="1:15" ht="39" x14ac:dyDescent="0.2">
      <c r="I23" s="239" t="s">
        <v>6</v>
      </c>
      <c r="J23" s="240" t="s">
        <v>82</v>
      </c>
      <c r="K23" s="241"/>
      <c r="L23" s="241">
        <f>[3]Uga!C$11+D14+D6+[3]Bdi!C$10</f>
        <v>123994</v>
      </c>
      <c r="M23" s="241">
        <f>39361+7464+8934</f>
        <v>55759</v>
      </c>
      <c r="N23" s="241">
        <f>60639+450+7610</f>
        <v>68699</v>
      </c>
      <c r="O23" s="242">
        <f>M23/L23</f>
        <v>0.44969111408616547</v>
      </c>
    </row>
  </sheetData>
  <conditionalFormatting sqref="G2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{32DB355F-EA03-482F-AF6C-1204376CA061}</x14:id>
        </ext>
      </extLst>
    </cfRule>
  </conditionalFormatting>
  <conditionalFormatting sqref="G4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{643EF56B-52EF-473E-B8AD-1E7B1A1B3333}</x14:id>
        </ext>
      </extLst>
    </cfRule>
  </conditionalFormatting>
  <conditionalFormatting sqref="G5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{0C9AB65A-A6C0-4652-8086-624ADB3E351E}</x14:id>
        </ext>
      </extLst>
    </cfRule>
  </conditionalFormatting>
  <conditionalFormatting sqref="G6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{CED8A254-18EE-415F-BE04-07A62AE47E5F}</x14:id>
        </ext>
      </extLst>
    </cfRule>
  </conditionalFormatting>
  <conditionalFormatting sqref="G3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{C98CACA0-53BC-4599-A6FB-94732F3F7EAD}</x14:id>
        </ext>
      </extLst>
    </cfRule>
  </conditionalFormatting>
  <conditionalFormatting sqref="O2:O6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{5659A91D-D9F1-41F9-9B5C-51D12C13E734}</x14:id>
        </ext>
      </extLst>
    </cfRule>
  </conditionalFormatting>
  <conditionalFormatting sqref="G1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{74CBF701-33BE-4D90-95ED-215C5355DF66}</x14:id>
        </ext>
      </extLst>
    </cfRule>
  </conditionalFormatting>
  <conditionalFormatting sqref="G14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{2C455AD8-E63E-49BF-8F15-D1D808EF55F9}</x14:id>
        </ext>
      </extLst>
    </cfRule>
  </conditionalFormatting>
  <conditionalFormatting sqref="G12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{3FF90944-63D3-4CED-8C74-283AD9B2AE5D}</x14:id>
        </ext>
      </extLst>
    </cfRule>
  </conditionalFormatting>
  <conditionalFormatting sqref="G11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{76D6260D-E203-4E62-BDF1-BFC586D90C15}</x14:id>
        </ext>
      </extLst>
    </cfRule>
  </conditionalFormatting>
  <conditionalFormatting sqref="G13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{97C9BE90-6F59-4ABD-BA73-D9179B5B9326}</x14:id>
        </ext>
      </extLst>
    </cfRule>
  </conditionalFormatting>
  <conditionalFormatting sqref="O10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{FCACCA07-C5EC-4820-8FE8-E5AF4C5A1197}</x14:id>
        </ext>
      </extLst>
    </cfRule>
  </conditionalFormatting>
  <conditionalFormatting sqref="O12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{301913A8-ADA6-4A58-9116-25913FB6341C}</x14:id>
        </ext>
      </extLst>
    </cfRule>
  </conditionalFormatting>
  <conditionalFormatting sqref="O13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{1125B372-5EB1-4ABF-AEC8-3DE48F5004FB}</x14:id>
        </ext>
      </extLst>
    </cfRule>
  </conditionalFormatting>
  <conditionalFormatting sqref="O11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{99518C60-82FD-4819-9C19-E2AD446EFB94}</x14:id>
        </ext>
      </extLst>
    </cfRule>
  </conditionalFormatting>
  <conditionalFormatting sqref="O14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{FE4ACBEF-F1C5-432B-912C-2470B2C3DC5B}</x14:id>
        </ext>
      </extLst>
    </cfRule>
  </conditionalFormatting>
  <conditionalFormatting sqref="G18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{DFF46732-ECD3-4DEB-AB71-102D7A36C21F}</x14:id>
        </ext>
      </extLst>
    </cfRule>
  </conditionalFormatting>
  <conditionalFormatting sqref="G22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{CF3F7C17-2CD5-4C3F-B813-C5D68A2E627F}</x14:id>
        </ext>
      </extLst>
    </cfRule>
  </conditionalFormatting>
  <conditionalFormatting sqref="G20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{8EB04B01-1EF5-4CC9-9609-53AFED5C729B}</x14:id>
        </ext>
      </extLst>
    </cfRule>
  </conditionalFormatting>
  <conditionalFormatting sqref="G19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{2F92A92B-2A33-4F1F-825E-B0EA6B95A368}</x14:id>
        </ext>
      </extLst>
    </cfRule>
  </conditionalFormatting>
  <conditionalFormatting sqref="G21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{14C75123-8F81-4BC3-84B2-D220AFFDC8EE}</x14:id>
        </ext>
      </extLst>
    </cfRule>
  </conditionalFormatting>
  <conditionalFormatting sqref="O19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{E7ECE295-8193-43D0-9CE4-F1E5943303A0}</x14:id>
        </ext>
      </extLst>
    </cfRule>
  </conditionalFormatting>
  <conditionalFormatting sqref="O21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{4FA62E5C-0D54-4F3A-B76F-8C6E684106BA}</x14:id>
        </ext>
      </extLst>
    </cfRule>
  </conditionalFormatting>
  <conditionalFormatting sqref="O22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{E593A9D7-9D68-4EFF-956F-3BEE8B652400}</x14:id>
        </ext>
      </extLst>
    </cfRule>
  </conditionalFormatting>
  <conditionalFormatting sqref="O2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{235D1B75-4AEE-4B33-B0A8-2F2758D3D488}</x14:id>
        </ext>
      </extLst>
    </cfRule>
  </conditionalFormatting>
  <conditionalFormatting sqref="O23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{45F8F651-677C-4DFD-924F-CBE90FCDEEAE}</x14:id>
        </ext>
      </extLst>
    </cfRule>
  </conditionalFormatting>
  <pageMargins left="0.7" right="0.7" top="0.75" bottom="0.75" header="0.3" footer="0.3"/>
  <ignoredErrors>
    <ignoredError sqref="L2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B355F-EA03-482F-AF6C-1204376CA06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643EF56B-52EF-473E-B8AD-1E7B1A1B333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C9AB65A-A6C0-4652-8086-624ADB3E3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ED8A254-18EE-415F-BE04-07A62AE47E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C98CACA0-53BC-4599-A6FB-94732F3F7E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5659A91D-D9F1-41F9-9B5C-51D12C13E73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74CBF701-33BE-4D90-95ED-215C5355DF6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C455AD8-E63E-49BF-8F15-D1D808EF55F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3FF90944-63D3-4CED-8C74-283AD9B2AE5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76D6260D-E203-4E62-BDF1-BFC586D90C1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97C9BE90-6F59-4ABD-BA73-D9179B5B932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FCACCA07-C5EC-4820-8FE8-E5AF4C5A119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301913A8-ADA6-4A58-9116-25913FB6341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1125B372-5EB1-4ABF-AEC8-3DE48F5004F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99518C60-82FD-4819-9C19-E2AD446EFB9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E4ACBEF-F1C5-432B-912C-2470B2C3DC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DFF46732-ECD3-4DEB-AB71-102D7A36C21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F3F7C17-2CD5-4C3F-B813-C5D68A2E627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EB04B01-1EF5-4CC9-9609-53AFED5C729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F92A92B-2A33-4F1F-825E-B0EA6B95A3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14C75123-8F81-4BC3-84B2-D220AFFDC8E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7ECE295-8193-43D0-9CE4-F1E5943303A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FA62E5C-0D54-4F3A-B76F-8C6E684106B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E593A9D7-9D68-4EFF-956F-3BEE8B65240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235D1B75-4AEE-4B33-B0A8-2F2758D3D4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45F8F651-677C-4DFD-924F-CBE90FCDEEA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Global IDP</vt:lpstr>
      <vt:lpstr> Global Refugees</vt:lpstr>
      <vt:lpstr>Situation and Fund summary</vt:lpstr>
      <vt:lpstr>Results by sector</vt:lpstr>
      <vt:lpstr>Results by country</vt:lpstr>
      <vt:lpstr>Results Ref merged per country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Microsoft Office User</cp:lastModifiedBy>
  <cp:lastPrinted>2017-12-18T13:03:05Z</cp:lastPrinted>
  <dcterms:created xsi:type="dcterms:W3CDTF">2017-06-06T06:02:04Z</dcterms:created>
  <dcterms:modified xsi:type="dcterms:W3CDTF">2018-09-11T12:32:07Z</dcterms:modified>
</cp:coreProperties>
</file>