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425"/>
  </bookViews>
  <sheets>
    <sheet name="RETURNEE DATASET" sheetId="1" r:id="rId1"/>
    <sheet name="Summary" sheetId="2" r:id="rId2"/>
  </sheets>
  <definedNames>
    <definedName name="_xlnm._FilterDatabase" localSheetId="0" hidden="1">'RETURNEE DATASET'!$A$4:$AV$718</definedName>
  </definedNames>
  <calcPr calcId="152511"/>
</workbook>
</file>

<file path=xl/calcChain.xml><?xml version="1.0" encoding="utf-8"?>
<calcChain xmlns="http://schemas.openxmlformats.org/spreadsheetml/2006/main">
  <c r="AT5" i="1" l="1"/>
  <c r="AU5" i="1"/>
  <c r="AV5" i="1"/>
  <c r="AT6" i="1"/>
  <c r="AU6" i="1"/>
  <c r="AV6" i="1"/>
  <c r="AT7" i="1"/>
  <c r="AU7" i="1"/>
  <c r="AV7" i="1"/>
  <c r="AT8" i="1"/>
  <c r="AU8" i="1"/>
  <c r="AV8" i="1"/>
  <c r="AT9" i="1"/>
  <c r="AU9" i="1"/>
  <c r="AV9" i="1"/>
  <c r="AT10" i="1"/>
  <c r="AU10" i="1"/>
  <c r="AV10" i="1"/>
  <c r="AT11" i="1"/>
  <c r="AU11" i="1"/>
  <c r="AV11" i="1"/>
  <c r="AT12" i="1"/>
  <c r="AU12" i="1"/>
  <c r="AV12" i="1"/>
  <c r="AT13" i="1"/>
  <c r="AU13" i="1"/>
  <c r="AV13" i="1"/>
  <c r="AT14" i="1"/>
  <c r="AU14" i="1"/>
  <c r="AV14" i="1"/>
  <c r="AT15" i="1"/>
  <c r="AU15" i="1"/>
  <c r="AV15" i="1"/>
  <c r="AT16" i="1"/>
  <c r="AU16" i="1"/>
  <c r="AV16" i="1"/>
  <c r="AT17" i="1"/>
  <c r="AU17" i="1"/>
  <c r="AV17" i="1"/>
  <c r="AT18" i="1"/>
  <c r="AU18" i="1"/>
  <c r="AV18" i="1"/>
  <c r="AT19" i="1"/>
  <c r="AU19" i="1"/>
  <c r="AV19" i="1"/>
  <c r="AT20" i="1"/>
  <c r="AU20" i="1"/>
  <c r="AV20" i="1"/>
  <c r="AT21" i="1"/>
  <c r="AU21" i="1"/>
  <c r="AV21" i="1"/>
  <c r="AT22" i="1"/>
  <c r="AU22" i="1"/>
  <c r="AV22" i="1"/>
  <c r="AT23" i="1"/>
  <c r="AU23" i="1"/>
  <c r="AV23" i="1"/>
  <c r="AT24" i="1"/>
  <c r="AU24" i="1"/>
  <c r="AV24" i="1"/>
  <c r="AT25" i="1"/>
  <c r="AU25" i="1"/>
  <c r="AV25" i="1"/>
  <c r="AT26" i="1"/>
  <c r="AU26" i="1"/>
  <c r="AV26" i="1"/>
  <c r="AT27" i="1"/>
  <c r="AU27" i="1"/>
  <c r="AV27" i="1"/>
  <c r="AT28" i="1"/>
  <c r="AU28" i="1"/>
  <c r="AV28" i="1"/>
  <c r="AT29" i="1"/>
  <c r="AU29" i="1"/>
  <c r="AV29" i="1"/>
  <c r="AT30" i="1"/>
  <c r="AU30" i="1"/>
  <c r="AV30" i="1"/>
  <c r="AT31" i="1"/>
  <c r="AU31" i="1"/>
  <c r="AV31" i="1"/>
  <c r="AT32" i="1"/>
  <c r="AU32" i="1"/>
  <c r="AV32" i="1"/>
  <c r="AT33" i="1"/>
  <c r="AU33" i="1"/>
  <c r="AV33" i="1"/>
  <c r="AT34" i="1"/>
  <c r="AU34" i="1"/>
  <c r="AV34" i="1"/>
  <c r="AT35" i="1"/>
  <c r="AU35" i="1"/>
  <c r="AV35" i="1"/>
  <c r="AT36" i="1"/>
  <c r="AU36" i="1"/>
  <c r="AV36" i="1"/>
  <c r="AT37" i="1"/>
  <c r="AU37" i="1"/>
  <c r="AV37" i="1"/>
  <c r="AT38" i="1"/>
  <c r="AU38" i="1"/>
  <c r="AV38" i="1"/>
  <c r="AT39" i="1"/>
  <c r="AU39" i="1"/>
  <c r="AV39" i="1"/>
  <c r="AT40" i="1"/>
  <c r="AU40" i="1"/>
  <c r="AV40" i="1"/>
  <c r="AT41" i="1"/>
  <c r="AU41" i="1"/>
  <c r="AV41" i="1"/>
  <c r="AT42" i="1"/>
  <c r="AU42" i="1"/>
  <c r="AV42" i="1"/>
  <c r="AT43" i="1"/>
  <c r="AU43" i="1"/>
  <c r="AV43" i="1"/>
  <c r="AT44" i="1"/>
  <c r="AU44" i="1"/>
  <c r="AV44" i="1"/>
  <c r="AT45" i="1"/>
  <c r="AU45" i="1"/>
  <c r="AV45" i="1"/>
  <c r="AT46" i="1"/>
  <c r="AU46" i="1"/>
  <c r="AV46" i="1"/>
  <c r="AT47" i="1"/>
  <c r="AU47" i="1"/>
  <c r="AV47" i="1"/>
  <c r="AT48" i="1"/>
  <c r="AU48" i="1"/>
  <c r="AV48" i="1"/>
  <c r="AT49" i="1"/>
  <c r="AU49" i="1"/>
  <c r="AV49" i="1"/>
  <c r="AT50" i="1"/>
  <c r="AU50" i="1"/>
  <c r="AV50" i="1"/>
  <c r="AT51" i="1"/>
  <c r="AU51" i="1"/>
  <c r="AV51" i="1"/>
  <c r="AT52" i="1"/>
  <c r="AU52" i="1"/>
  <c r="AV52" i="1"/>
  <c r="AT53" i="1"/>
  <c r="AU53" i="1"/>
  <c r="AV53" i="1"/>
  <c r="AT54" i="1"/>
  <c r="AU54" i="1"/>
  <c r="AV54" i="1"/>
  <c r="AT55" i="1"/>
  <c r="AU55" i="1"/>
  <c r="AV55" i="1"/>
  <c r="AT56" i="1"/>
  <c r="AU56" i="1"/>
  <c r="AV56" i="1"/>
  <c r="AT57" i="1"/>
  <c r="AU57" i="1"/>
  <c r="AV57" i="1"/>
  <c r="AT58" i="1"/>
  <c r="AU58" i="1"/>
  <c r="AV58" i="1"/>
  <c r="AT59" i="1"/>
  <c r="AU59" i="1"/>
  <c r="AV59" i="1"/>
  <c r="AT60" i="1"/>
  <c r="AU60" i="1"/>
  <c r="AV60" i="1"/>
  <c r="AT61" i="1"/>
  <c r="AU61" i="1"/>
  <c r="AV61" i="1"/>
  <c r="AT62" i="1"/>
  <c r="AU62" i="1"/>
  <c r="AV62" i="1"/>
  <c r="AT63" i="1"/>
  <c r="AU63" i="1"/>
  <c r="AV63" i="1"/>
  <c r="AT64" i="1"/>
  <c r="AU64" i="1"/>
  <c r="AV64" i="1"/>
  <c r="AT65" i="1"/>
  <c r="AU65" i="1"/>
  <c r="AV65" i="1"/>
  <c r="AT66" i="1"/>
  <c r="AU66" i="1"/>
  <c r="AV66" i="1"/>
  <c r="AT67" i="1"/>
  <c r="AU67" i="1"/>
  <c r="AV67" i="1"/>
  <c r="AT68" i="1"/>
  <c r="AU68" i="1"/>
  <c r="AV68" i="1"/>
  <c r="AT69" i="1"/>
  <c r="AU69" i="1"/>
  <c r="AV69" i="1"/>
  <c r="AT70" i="1"/>
  <c r="AU70" i="1"/>
  <c r="AV70" i="1"/>
  <c r="AT71" i="1"/>
  <c r="AU71" i="1"/>
  <c r="AV71" i="1"/>
  <c r="AT72" i="1"/>
  <c r="AU72" i="1"/>
  <c r="AV72" i="1"/>
  <c r="AT73" i="1"/>
  <c r="AU73" i="1"/>
  <c r="AV73" i="1"/>
  <c r="AT74" i="1"/>
  <c r="AU74" i="1"/>
  <c r="AV74" i="1"/>
  <c r="AT75" i="1"/>
  <c r="AU75" i="1"/>
  <c r="AV75" i="1"/>
  <c r="AT76" i="1"/>
  <c r="AU76" i="1"/>
  <c r="AV76" i="1"/>
  <c r="AT77" i="1"/>
  <c r="AU77" i="1"/>
  <c r="AV77" i="1"/>
  <c r="AT78" i="1"/>
  <c r="AU78" i="1"/>
  <c r="AV78" i="1"/>
  <c r="AT79" i="1"/>
  <c r="AU79" i="1"/>
  <c r="AV79" i="1"/>
  <c r="AT80" i="1"/>
  <c r="AU80" i="1"/>
  <c r="AV80" i="1"/>
  <c r="AT81" i="1"/>
  <c r="AU81" i="1"/>
  <c r="AV81" i="1"/>
  <c r="AT82" i="1"/>
  <c r="AU82" i="1"/>
  <c r="AV82" i="1"/>
  <c r="AT83" i="1"/>
  <c r="AU83" i="1"/>
  <c r="AV83" i="1"/>
  <c r="AT84" i="1"/>
  <c r="AU84" i="1"/>
  <c r="AV84" i="1"/>
  <c r="AT85" i="1"/>
  <c r="AU85" i="1"/>
  <c r="AV85" i="1"/>
  <c r="AT86" i="1"/>
  <c r="AU86" i="1"/>
  <c r="AV86" i="1"/>
  <c r="AT87" i="1"/>
  <c r="AU87" i="1"/>
  <c r="AV87" i="1"/>
  <c r="AT88" i="1"/>
  <c r="AU88" i="1"/>
  <c r="AV88" i="1"/>
  <c r="AT89" i="1"/>
  <c r="AU89" i="1"/>
  <c r="AV89" i="1"/>
  <c r="AT90" i="1"/>
  <c r="AU90" i="1"/>
  <c r="AV90" i="1"/>
  <c r="AT91" i="1"/>
  <c r="AU91" i="1"/>
  <c r="AV91" i="1"/>
  <c r="AT92" i="1"/>
  <c r="AU92" i="1"/>
  <c r="AV92" i="1"/>
  <c r="AT93" i="1"/>
  <c r="AU93" i="1"/>
  <c r="AV93" i="1"/>
  <c r="AT94" i="1"/>
  <c r="AU94" i="1"/>
  <c r="AV94" i="1"/>
  <c r="AT95" i="1"/>
  <c r="AU95" i="1"/>
  <c r="AV95" i="1"/>
  <c r="AT96" i="1"/>
  <c r="AU96" i="1"/>
  <c r="AV96" i="1"/>
  <c r="AT97" i="1"/>
  <c r="AU97" i="1"/>
  <c r="AV97" i="1"/>
  <c r="AT98" i="1"/>
  <c r="AU98" i="1"/>
  <c r="AV98" i="1"/>
  <c r="AT99" i="1"/>
  <c r="AU99" i="1"/>
  <c r="AV99" i="1"/>
  <c r="AT100" i="1"/>
  <c r="AU100" i="1"/>
  <c r="AV100" i="1"/>
  <c r="AT101" i="1"/>
  <c r="AU101" i="1"/>
  <c r="AV101" i="1"/>
  <c r="AT102" i="1"/>
  <c r="AU102" i="1"/>
  <c r="AV102" i="1"/>
  <c r="AT103" i="1"/>
  <c r="AU103" i="1"/>
  <c r="AV103" i="1"/>
  <c r="AT104" i="1"/>
  <c r="AU104" i="1"/>
  <c r="AV104" i="1"/>
  <c r="AT105" i="1"/>
  <c r="AU105" i="1"/>
  <c r="AV105" i="1"/>
  <c r="AT106" i="1"/>
  <c r="AU106" i="1"/>
  <c r="AV106" i="1"/>
  <c r="AT107" i="1"/>
  <c r="AU107" i="1"/>
  <c r="AV107" i="1"/>
  <c r="AT108" i="1"/>
  <c r="AU108" i="1"/>
  <c r="AV108" i="1"/>
  <c r="AT109" i="1"/>
  <c r="AU109" i="1"/>
  <c r="AV109" i="1"/>
  <c r="AT110" i="1"/>
  <c r="AU110" i="1"/>
  <c r="AV110" i="1"/>
  <c r="AT111" i="1"/>
  <c r="AU111" i="1"/>
  <c r="AV111" i="1"/>
  <c r="AT112" i="1"/>
  <c r="AU112" i="1"/>
  <c r="AV112" i="1"/>
  <c r="AT113" i="1"/>
  <c r="AU113" i="1"/>
  <c r="AV113" i="1"/>
  <c r="AT114" i="1"/>
  <c r="AU114" i="1"/>
  <c r="AV114" i="1"/>
  <c r="AT115" i="1"/>
  <c r="AU115" i="1"/>
  <c r="AV115" i="1"/>
  <c r="AT116" i="1"/>
  <c r="AU116" i="1"/>
  <c r="AV116" i="1"/>
  <c r="AT117" i="1"/>
  <c r="AU117" i="1"/>
  <c r="AV117" i="1"/>
  <c r="AT118" i="1"/>
  <c r="AU118" i="1"/>
  <c r="AV118" i="1"/>
  <c r="AT119" i="1"/>
  <c r="AU119" i="1"/>
  <c r="AV119" i="1"/>
  <c r="AT120" i="1"/>
  <c r="AU120" i="1"/>
  <c r="AV120" i="1"/>
  <c r="AT121" i="1"/>
  <c r="AU121" i="1"/>
  <c r="AV121" i="1"/>
  <c r="AT122" i="1"/>
  <c r="AU122" i="1"/>
  <c r="AV122" i="1"/>
  <c r="AT123" i="1"/>
  <c r="AU123" i="1"/>
  <c r="AV123" i="1"/>
  <c r="AT124" i="1"/>
  <c r="AU124" i="1"/>
  <c r="AV124" i="1"/>
  <c r="AT125" i="1"/>
  <c r="AU125" i="1"/>
  <c r="AV125" i="1"/>
  <c r="AT126" i="1"/>
  <c r="AU126" i="1"/>
  <c r="AV126" i="1"/>
  <c r="AT127" i="1"/>
  <c r="AU127" i="1"/>
  <c r="AV127" i="1"/>
  <c r="AT128" i="1"/>
  <c r="AU128" i="1"/>
  <c r="AV128" i="1"/>
  <c r="AT129" i="1"/>
  <c r="AU129" i="1"/>
  <c r="AV129" i="1"/>
  <c r="AT130" i="1"/>
  <c r="AU130" i="1"/>
  <c r="AV130" i="1"/>
  <c r="AT131" i="1"/>
  <c r="AU131" i="1"/>
  <c r="AV131" i="1"/>
  <c r="AT132" i="1"/>
  <c r="AU132" i="1"/>
  <c r="AV132" i="1"/>
  <c r="AT133" i="1"/>
  <c r="AU133" i="1"/>
  <c r="AV133" i="1"/>
  <c r="AT134" i="1"/>
  <c r="AU134" i="1"/>
  <c r="AV134" i="1"/>
  <c r="AT135" i="1"/>
  <c r="AU135" i="1"/>
  <c r="AV135" i="1"/>
  <c r="AT136" i="1"/>
  <c r="AU136" i="1"/>
  <c r="AV136" i="1"/>
  <c r="AT137" i="1"/>
  <c r="AU137" i="1"/>
  <c r="AV137" i="1"/>
  <c r="AT138" i="1"/>
  <c r="AU138" i="1"/>
  <c r="AV138" i="1"/>
  <c r="AT139" i="1"/>
  <c r="AU139" i="1"/>
  <c r="AV139" i="1"/>
  <c r="AT140" i="1"/>
  <c r="AU140" i="1"/>
  <c r="AV140" i="1"/>
  <c r="AT141" i="1"/>
  <c r="AU141" i="1"/>
  <c r="AV141" i="1"/>
  <c r="AT142" i="1"/>
  <c r="AU142" i="1"/>
  <c r="AV142" i="1"/>
  <c r="AT143" i="1"/>
  <c r="AU143" i="1"/>
  <c r="AV143" i="1"/>
  <c r="AT144" i="1"/>
  <c r="AU144" i="1"/>
  <c r="AV144" i="1"/>
  <c r="AT145" i="1"/>
  <c r="AU145" i="1"/>
  <c r="AV145" i="1"/>
  <c r="AT146" i="1"/>
  <c r="AU146" i="1"/>
  <c r="AV146" i="1"/>
  <c r="AT147" i="1"/>
  <c r="AU147" i="1"/>
  <c r="AV147" i="1"/>
  <c r="AT148" i="1"/>
  <c r="AU148" i="1"/>
  <c r="AV148" i="1"/>
  <c r="AT149" i="1"/>
  <c r="AU149" i="1"/>
  <c r="AV149" i="1"/>
  <c r="AT150" i="1"/>
  <c r="AU150" i="1"/>
  <c r="AV150" i="1"/>
  <c r="AT151" i="1"/>
  <c r="AU151" i="1"/>
  <c r="AV151" i="1"/>
  <c r="AT152" i="1"/>
  <c r="AU152" i="1"/>
  <c r="AV152" i="1"/>
  <c r="AT153" i="1"/>
  <c r="AU153" i="1"/>
  <c r="AV153" i="1"/>
  <c r="AT154" i="1"/>
  <c r="AU154" i="1"/>
  <c r="AV154" i="1"/>
  <c r="AT155" i="1"/>
  <c r="AU155" i="1"/>
  <c r="AV155" i="1"/>
  <c r="AT156" i="1"/>
  <c r="AU156" i="1"/>
  <c r="AV156" i="1"/>
  <c r="AT157" i="1"/>
  <c r="AU157" i="1"/>
  <c r="AV157" i="1"/>
  <c r="AT158" i="1"/>
  <c r="AU158" i="1"/>
  <c r="AV158" i="1"/>
  <c r="AT159" i="1"/>
  <c r="AU159" i="1"/>
  <c r="AV159" i="1"/>
  <c r="AT160" i="1"/>
  <c r="AU160" i="1"/>
  <c r="AV160" i="1"/>
  <c r="AT161" i="1"/>
  <c r="AU161" i="1"/>
  <c r="AV161" i="1"/>
  <c r="AT162" i="1"/>
  <c r="AU162" i="1"/>
  <c r="AV162" i="1"/>
  <c r="AT163" i="1"/>
  <c r="AU163" i="1"/>
  <c r="AV163" i="1"/>
  <c r="AT164" i="1"/>
  <c r="AU164" i="1"/>
  <c r="AV164" i="1"/>
  <c r="AT165" i="1"/>
  <c r="AU165" i="1"/>
  <c r="AV165" i="1"/>
  <c r="AT166" i="1"/>
  <c r="AU166" i="1"/>
  <c r="AV166" i="1"/>
  <c r="AT167" i="1"/>
  <c r="AU167" i="1"/>
  <c r="AV167" i="1"/>
  <c r="AT168" i="1"/>
  <c r="AU168" i="1"/>
  <c r="AV168" i="1"/>
  <c r="AT169" i="1"/>
  <c r="AU169" i="1"/>
  <c r="AV169" i="1"/>
  <c r="AT170" i="1"/>
  <c r="AU170" i="1"/>
  <c r="AV170" i="1"/>
  <c r="AT171" i="1"/>
  <c r="AU171" i="1"/>
  <c r="AV171" i="1"/>
  <c r="AT172" i="1"/>
  <c r="AU172" i="1"/>
  <c r="AV172" i="1"/>
  <c r="AT173" i="1"/>
  <c r="AU173" i="1"/>
  <c r="AV173" i="1"/>
  <c r="AT174" i="1"/>
  <c r="AU174" i="1"/>
  <c r="AV174" i="1"/>
  <c r="AT175" i="1"/>
  <c r="AU175" i="1"/>
  <c r="AV175" i="1"/>
  <c r="AT176" i="1"/>
  <c r="AU176" i="1"/>
  <c r="AV176" i="1"/>
  <c r="AT177" i="1"/>
  <c r="AU177" i="1"/>
  <c r="AV177" i="1"/>
  <c r="AT178" i="1"/>
  <c r="AU178" i="1"/>
  <c r="AV178" i="1"/>
  <c r="AT179" i="1"/>
  <c r="AU179" i="1"/>
  <c r="AV179" i="1"/>
  <c r="AT180" i="1"/>
  <c r="AU180" i="1"/>
  <c r="AV180" i="1"/>
  <c r="AT181" i="1"/>
  <c r="AU181" i="1"/>
  <c r="AV181" i="1"/>
  <c r="AT182" i="1"/>
  <c r="AU182" i="1"/>
  <c r="AV182" i="1"/>
  <c r="AT183" i="1"/>
  <c r="AU183" i="1"/>
  <c r="AV183" i="1"/>
  <c r="AT184" i="1"/>
  <c r="AU184" i="1"/>
  <c r="AV184" i="1"/>
  <c r="AT185" i="1"/>
  <c r="AU185" i="1"/>
  <c r="AV185" i="1"/>
  <c r="AT186" i="1"/>
  <c r="AU186" i="1"/>
  <c r="AV186" i="1"/>
  <c r="AT187" i="1"/>
  <c r="AU187" i="1"/>
  <c r="AV187" i="1"/>
  <c r="AT188" i="1"/>
  <c r="AU188" i="1"/>
  <c r="AV188" i="1"/>
  <c r="AT189" i="1"/>
  <c r="AU189" i="1"/>
  <c r="AV189" i="1"/>
  <c r="AT190" i="1"/>
  <c r="AU190" i="1"/>
  <c r="AV190" i="1"/>
  <c r="AT191" i="1"/>
  <c r="AU191" i="1"/>
  <c r="AV191" i="1"/>
  <c r="AT192" i="1"/>
  <c r="AU192" i="1"/>
  <c r="AV192" i="1"/>
  <c r="AT193" i="1"/>
  <c r="AU193" i="1"/>
  <c r="AV193" i="1"/>
  <c r="AT194" i="1"/>
  <c r="AU194" i="1"/>
  <c r="AV194" i="1"/>
  <c r="AT195" i="1"/>
  <c r="AU195" i="1"/>
  <c r="AV195" i="1"/>
  <c r="AT196" i="1"/>
  <c r="AU196" i="1"/>
  <c r="AV196" i="1"/>
  <c r="AT197" i="1"/>
  <c r="AU197" i="1"/>
  <c r="AV197" i="1"/>
  <c r="AT198" i="1"/>
  <c r="AU198" i="1"/>
  <c r="AV198" i="1"/>
  <c r="AT199" i="1"/>
  <c r="AU199" i="1"/>
  <c r="AV199" i="1"/>
  <c r="AT200" i="1"/>
  <c r="AU200" i="1"/>
  <c r="AV200" i="1"/>
  <c r="AT201" i="1"/>
  <c r="AU201" i="1"/>
  <c r="AV201" i="1"/>
  <c r="AT202" i="1"/>
  <c r="AU202" i="1"/>
  <c r="AV202" i="1"/>
  <c r="AT203" i="1"/>
  <c r="AU203" i="1"/>
  <c r="AV203" i="1"/>
  <c r="AT204" i="1"/>
  <c r="AU204" i="1"/>
  <c r="AV204" i="1"/>
  <c r="AT205" i="1"/>
  <c r="AU205" i="1"/>
  <c r="AV205" i="1"/>
  <c r="AT206" i="1"/>
  <c r="AU206" i="1"/>
  <c r="AV206" i="1"/>
  <c r="AT207" i="1"/>
  <c r="AU207" i="1"/>
  <c r="AV207" i="1"/>
  <c r="AT208" i="1"/>
  <c r="AU208" i="1"/>
  <c r="AV208" i="1"/>
  <c r="AT209" i="1"/>
  <c r="AU209" i="1"/>
  <c r="AV209" i="1"/>
  <c r="AT210" i="1"/>
  <c r="AU210" i="1"/>
  <c r="AV210" i="1"/>
  <c r="AT211" i="1"/>
  <c r="AU211" i="1"/>
  <c r="AV211" i="1"/>
  <c r="AT212" i="1"/>
  <c r="AU212" i="1"/>
  <c r="AV212" i="1"/>
  <c r="AT213" i="1"/>
  <c r="AU213" i="1"/>
  <c r="AV213" i="1"/>
  <c r="AT214" i="1"/>
  <c r="AU214" i="1"/>
  <c r="AV214" i="1"/>
  <c r="AT215" i="1"/>
  <c r="AU215" i="1"/>
  <c r="AV215" i="1"/>
  <c r="AT216" i="1"/>
  <c r="AU216" i="1"/>
  <c r="AV216" i="1"/>
  <c r="AT217" i="1"/>
  <c r="AU217" i="1"/>
  <c r="AV217" i="1"/>
  <c r="AT218" i="1"/>
  <c r="AU218" i="1"/>
  <c r="AV218" i="1"/>
  <c r="AT219" i="1"/>
  <c r="AU219" i="1"/>
  <c r="AV219" i="1"/>
  <c r="AT220" i="1"/>
  <c r="AU220" i="1"/>
  <c r="AV220" i="1"/>
  <c r="AT221" i="1"/>
  <c r="AU221" i="1"/>
  <c r="AV221" i="1"/>
  <c r="AT222" i="1"/>
  <c r="AU222" i="1"/>
  <c r="AV222" i="1"/>
  <c r="AT223" i="1"/>
  <c r="AU223" i="1"/>
  <c r="AV223" i="1"/>
  <c r="AT224" i="1"/>
  <c r="AU224" i="1"/>
  <c r="AV224" i="1"/>
  <c r="AT225" i="1"/>
  <c r="AU225" i="1"/>
  <c r="AV225" i="1"/>
  <c r="AT226" i="1"/>
  <c r="AU226" i="1"/>
  <c r="AV226" i="1"/>
  <c r="AT227" i="1"/>
  <c r="AU227" i="1"/>
  <c r="AV227" i="1"/>
  <c r="AT228" i="1"/>
  <c r="AU228" i="1"/>
  <c r="AV228" i="1"/>
  <c r="AT229" i="1"/>
  <c r="AU229" i="1"/>
  <c r="AV229" i="1"/>
  <c r="AT230" i="1"/>
  <c r="AU230" i="1"/>
  <c r="AV230" i="1"/>
  <c r="AT231" i="1"/>
  <c r="AU231" i="1"/>
  <c r="AV231" i="1"/>
  <c r="AT232" i="1"/>
  <c r="AU232" i="1"/>
  <c r="AV232" i="1"/>
  <c r="AT233" i="1"/>
  <c r="AU233" i="1"/>
  <c r="AV233" i="1"/>
  <c r="AT234" i="1"/>
  <c r="AU234" i="1"/>
  <c r="AV234" i="1"/>
  <c r="AT235" i="1"/>
  <c r="AU235" i="1"/>
  <c r="AV235" i="1"/>
  <c r="AT236" i="1"/>
  <c r="AU236" i="1"/>
  <c r="AV236" i="1"/>
  <c r="AT237" i="1"/>
  <c r="AU237" i="1"/>
  <c r="AV237" i="1"/>
  <c r="AT238" i="1"/>
  <c r="AU238" i="1"/>
  <c r="AV238" i="1"/>
  <c r="AT239" i="1"/>
  <c r="AU239" i="1"/>
  <c r="AV239" i="1"/>
  <c r="AT240" i="1"/>
  <c r="AU240" i="1"/>
  <c r="AV240" i="1"/>
  <c r="AT241" i="1"/>
  <c r="AU241" i="1"/>
  <c r="AV241" i="1"/>
  <c r="AT242" i="1"/>
  <c r="AU242" i="1"/>
  <c r="AV242" i="1"/>
  <c r="AT243" i="1"/>
  <c r="AU243" i="1"/>
  <c r="AV243" i="1"/>
  <c r="AT244" i="1"/>
  <c r="AU244" i="1"/>
  <c r="AV244" i="1"/>
  <c r="AT245" i="1"/>
  <c r="AU245" i="1"/>
  <c r="AV245" i="1"/>
  <c r="AT246" i="1"/>
  <c r="AU246" i="1"/>
  <c r="AV246" i="1"/>
  <c r="AT247" i="1"/>
  <c r="AU247" i="1"/>
  <c r="AV247" i="1"/>
  <c r="AT248" i="1"/>
  <c r="AU248" i="1"/>
  <c r="AV248" i="1"/>
  <c r="AT249" i="1"/>
  <c r="AU249" i="1"/>
  <c r="AV249" i="1"/>
  <c r="AT250" i="1"/>
  <c r="AU250" i="1"/>
  <c r="AV250" i="1"/>
  <c r="AT251" i="1"/>
  <c r="AU251" i="1"/>
  <c r="AV251" i="1"/>
  <c r="AT252" i="1"/>
  <c r="AU252" i="1"/>
  <c r="AV252" i="1"/>
  <c r="AT253" i="1"/>
  <c r="AU253" i="1"/>
  <c r="AV253" i="1"/>
  <c r="AT254" i="1"/>
  <c r="AU254" i="1"/>
  <c r="AV254" i="1"/>
  <c r="AT255" i="1"/>
  <c r="AU255" i="1"/>
  <c r="AV255" i="1"/>
  <c r="AT256" i="1"/>
  <c r="AU256" i="1"/>
  <c r="AV256" i="1"/>
  <c r="AT257" i="1"/>
  <c r="AU257" i="1"/>
  <c r="AV257" i="1"/>
  <c r="AT258" i="1"/>
  <c r="AU258" i="1"/>
  <c r="AV258" i="1"/>
  <c r="AT259" i="1"/>
  <c r="AU259" i="1"/>
  <c r="AV259" i="1"/>
  <c r="AT260" i="1"/>
  <c r="AU260" i="1"/>
  <c r="AV260" i="1"/>
  <c r="AT261" i="1"/>
  <c r="AU261" i="1"/>
  <c r="AV261" i="1"/>
  <c r="AT262" i="1"/>
  <c r="AU262" i="1"/>
  <c r="AV262" i="1"/>
  <c r="AT263" i="1"/>
  <c r="AU263" i="1"/>
  <c r="AV263" i="1"/>
  <c r="AT264" i="1"/>
  <c r="AU264" i="1"/>
  <c r="AV264" i="1"/>
  <c r="AT265" i="1"/>
  <c r="AU265" i="1"/>
  <c r="AV265" i="1"/>
  <c r="AT266" i="1"/>
  <c r="AU266" i="1"/>
  <c r="AV266" i="1"/>
  <c r="AT267" i="1"/>
  <c r="AU267" i="1"/>
  <c r="AV267" i="1"/>
  <c r="AT268" i="1"/>
  <c r="AU268" i="1"/>
  <c r="AV268" i="1"/>
  <c r="AT269" i="1"/>
  <c r="AU269" i="1"/>
  <c r="AV269" i="1"/>
  <c r="AT270" i="1"/>
  <c r="AU270" i="1"/>
  <c r="AV270" i="1"/>
  <c r="AT271" i="1"/>
  <c r="AU271" i="1"/>
  <c r="AV271" i="1"/>
  <c r="AT272" i="1"/>
  <c r="AU272" i="1"/>
  <c r="AV272" i="1"/>
  <c r="AT273" i="1"/>
  <c r="AU273" i="1"/>
  <c r="AV273" i="1"/>
  <c r="AT274" i="1"/>
  <c r="AU274" i="1"/>
  <c r="AV274" i="1"/>
  <c r="AT275" i="1"/>
  <c r="AU275" i="1"/>
  <c r="AV275" i="1"/>
  <c r="AT276" i="1"/>
  <c r="AU276" i="1"/>
  <c r="AV276" i="1"/>
  <c r="AT277" i="1"/>
  <c r="AU277" i="1"/>
  <c r="AV277" i="1"/>
  <c r="AT278" i="1"/>
  <c r="AU278" i="1"/>
  <c r="AV278" i="1"/>
  <c r="AT279" i="1"/>
  <c r="AU279" i="1"/>
  <c r="AV279" i="1"/>
  <c r="AT280" i="1"/>
  <c r="AU280" i="1"/>
  <c r="AV280" i="1"/>
  <c r="AT281" i="1"/>
  <c r="AU281" i="1"/>
  <c r="AV281" i="1"/>
  <c r="AT282" i="1"/>
  <c r="AU282" i="1"/>
  <c r="AV282" i="1"/>
  <c r="AT283" i="1"/>
  <c r="AU283" i="1"/>
  <c r="AV283" i="1"/>
  <c r="AT284" i="1"/>
  <c r="AU284" i="1"/>
  <c r="AV284" i="1"/>
  <c r="AT285" i="1"/>
  <c r="AU285" i="1"/>
  <c r="AV285" i="1"/>
  <c r="AT286" i="1"/>
  <c r="AU286" i="1"/>
  <c r="AV286" i="1"/>
  <c r="AT287" i="1"/>
  <c r="AU287" i="1"/>
  <c r="AV287" i="1"/>
  <c r="AT288" i="1"/>
  <c r="AU288" i="1"/>
  <c r="AV288" i="1"/>
  <c r="AT289" i="1"/>
  <c r="AU289" i="1"/>
  <c r="AV289" i="1"/>
  <c r="AT290" i="1"/>
  <c r="AU290" i="1"/>
  <c r="AV290" i="1"/>
  <c r="AT291" i="1"/>
  <c r="AU291" i="1"/>
  <c r="AV291" i="1"/>
  <c r="AT292" i="1"/>
  <c r="AU292" i="1"/>
  <c r="AV292" i="1"/>
  <c r="AT293" i="1"/>
  <c r="AU293" i="1"/>
  <c r="AV293" i="1"/>
  <c r="AT294" i="1"/>
  <c r="AU294" i="1"/>
  <c r="AV294" i="1"/>
  <c r="AT295" i="1"/>
  <c r="AU295" i="1"/>
  <c r="AV295" i="1"/>
  <c r="AT296" i="1"/>
  <c r="AU296" i="1"/>
  <c r="AV296" i="1"/>
  <c r="AT297" i="1"/>
  <c r="AU297" i="1"/>
  <c r="AV297" i="1"/>
  <c r="AT298" i="1"/>
  <c r="AU298" i="1"/>
  <c r="AV298" i="1"/>
  <c r="AT299" i="1"/>
  <c r="AU299" i="1"/>
  <c r="AV299" i="1"/>
  <c r="AT300" i="1"/>
  <c r="AU300" i="1"/>
  <c r="AV300" i="1"/>
  <c r="AT301" i="1"/>
  <c r="AU301" i="1"/>
  <c r="AV301" i="1"/>
  <c r="AT302" i="1"/>
  <c r="AU302" i="1"/>
  <c r="AV302" i="1"/>
  <c r="AT303" i="1"/>
  <c r="AU303" i="1"/>
  <c r="AV303" i="1"/>
  <c r="AT304" i="1"/>
  <c r="AU304" i="1"/>
  <c r="AV304" i="1"/>
  <c r="AT305" i="1"/>
  <c r="AU305" i="1"/>
  <c r="AV305" i="1"/>
  <c r="AT306" i="1"/>
  <c r="AU306" i="1"/>
  <c r="AV306" i="1"/>
  <c r="AT307" i="1"/>
  <c r="AU307" i="1"/>
  <c r="AV307" i="1"/>
  <c r="AT308" i="1"/>
  <c r="AU308" i="1"/>
  <c r="AV308" i="1"/>
  <c r="AT309" i="1"/>
  <c r="AU309" i="1"/>
  <c r="AV309" i="1"/>
  <c r="AT310" i="1"/>
  <c r="AU310" i="1"/>
  <c r="AV310" i="1"/>
  <c r="AT311" i="1"/>
  <c r="AU311" i="1"/>
  <c r="AV311" i="1"/>
  <c r="AT312" i="1"/>
  <c r="AU312" i="1"/>
  <c r="AV312" i="1"/>
  <c r="AT313" i="1"/>
  <c r="AU313" i="1"/>
  <c r="AV313" i="1"/>
  <c r="AT314" i="1"/>
  <c r="AU314" i="1"/>
  <c r="AV314" i="1"/>
  <c r="AT315" i="1"/>
  <c r="AU315" i="1"/>
  <c r="AV315" i="1"/>
  <c r="AT316" i="1"/>
  <c r="AU316" i="1"/>
  <c r="AV316" i="1"/>
  <c r="AT317" i="1"/>
  <c r="AU317" i="1"/>
  <c r="AV317" i="1"/>
  <c r="AT318" i="1"/>
  <c r="AU318" i="1"/>
  <c r="AV318" i="1"/>
  <c r="AT319" i="1"/>
  <c r="AU319" i="1"/>
  <c r="AV319" i="1"/>
  <c r="AT320" i="1"/>
  <c r="AU320" i="1"/>
  <c r="AV320" i="1"/>
  <c r="AT321" i="1"/>
  <c r="AU321" i="1"/>
  <c r="AV321" i="1"/>
  <c r="AT322" i="1"/>
  <c r="AU322" i="1"/>
  <c r="AV322" i="1"/>
  <c r="AT323" i="1"/>
  <c r="AU323" i="1"/>
  <c r="AV323" i="1"/>
  <c r="AT324" i="1"/>
  <c r="AU324" i="1"/>
  <c r="AV324" i="1"/>
  <c r="AT325" i="1"/>
  <c r="AU325" i="1"/>
  <c r="AV325" i="1"/>
  <c r="AT326" i="1"/>
  <c r="AU326" i="1"/>
  <c r="AV326" i="1"/>
  <c r="AT327" i="1"/>
  <c r="AU327" i="1"/>
  <c r="AV327" i="1"/>
  <c r="AT328" i="1"/>
  <c r="AU328" i="1"/>
  <c r="AV328" i="1"/>
  <c r="AT329" i="1"/>
  <c r="AU329" i="1"/>
  <c r="AV329" i="1"/>
  <c r="AT330" i="1"/>
  <c r="AU330" i="1"/>
  <c r="AV330" i="1"/>
  <c r="AT331" i="1"/>
  <c r="AU331" i="1"/>
  <c r="AV331" i="1"/>
  <c r="AT332" i="1"/>
  <c r="AU332" i="1"/>
  <c r="AV332" i="1"/>
  <c r="AT333" i="1"/>
  <c r="AU333" i="1"/>
  <c r="AV333" i="1"/>
  <c r="AT334" i="1"/>
  <c r="AU334" i="1"/>
  <c r="AV334" i="1"/>
  <c r="AT335" i="1"/>
  <c r="AU335" i="1"/>
  <c r="AV335" i="1"/>
  <c r="AT336" i="1"/>
  <c r="AU336" i="1"/>
  <c r="AV336" i="1"/>
  <c r="AT337" i="1"/>
  <c r="AU337" i="1"/>
  <c r="AV337" i="1"/>
  <c r="AT338" i="1"/>
  <c r="AU338" i="1"/>
  <c r="AV338" i="1"/>
  <c r="AT339" i="1"/>
  <c r="AU339" i="1"/>
  <c r="AV339" i="1"/>
  <c r="AT340" i="1"/>
  <c r="AU340" i="1"/>
  <c r="AV340" i="1"/>
  <c r="AT341" i="1"/>
  <c r="AU341" i="1"/>
  <c r="AV341" i="1"/>
  <c r="AT342" i="1"/>
  <c r="AU342" i="1"/>
  <c r="AV342" i="1"/>
  <c r="AT343" i="1"/>
  <c r="AU343" i="1"/>
  <c r="AV343" i="1"/>
  <c r="AT344" i="1"/>
  <c r="AU344" i="1"/>
  <c r="AV344" i="1"/>
  <c r="AT345" i="1"/>
  <c r="AU345" i="1"/>
  <c r="AV345" i="1"/>
  <c r="AT346" i="1"/>
  <c r="AU346" i="1"/>
  <c r="AV346" i="1"/>
  <c r="AT347" i="1"/>
  <c r="AU347" i="1"/>
  <c r="AV347" i="1"/>
  <c r="AT348" i="1"/>
  <c r="AU348" i="1"/>
  <c r="AV348" i="1"/>
  <c r="AT349" i="1"/>
  <c r="AU349" i="1"/>
  <c r="AV349" i="1"/>
  <c r="AT350" i="1"/>
  <c r="AU350" i="1"/>
  <c r="AV350" i="1"/>
  <c r="AT351" i="1"/>
  <c r="AU351" i="1"/>
  <c r="AV351" i="1"/>
  <c r="AT352" i="1"/>
  <c r="AU352" i="1"/>
  <c r="AV352" i="1"/>
  <c r="AT353" i="1"/>
  <c r="AU353" i="1"/>
  <c r="AV353" i="1"/>
  <c r="AT354" i="1"/>
  <c r="AU354" i="1"/>
  <c r="AV354" i="1"/>
  <c r="AT355" i="1"/>
  <c r="AU355" i="1"/>
  <c r="AV355" i="1"/>
  <c r="AT356" i="1"/>
  <c r="AU356" i="1"/>
  <c r="AV356" i="1"/>
  <c r="AT357" i="1"/>
  <c r="AU357" i="1"/>
  <c r="AV357" i="1"/>
  <c r="AT358" i="1"/>
  <c r="AU358" i="1"/>
  <c r="AV358" i="1"/>
  <c r="AT359" i="1"/>
  <c r="AU359" i="1"/>
  <c r="AV359" i="1"/>
  <c r="AT360" i="1"/>
  <c r="AU360" i="1"/>
  <c r="AV360" i="1"/>
  <c r="AT361" i="1"/>
  <c r="AU361" i="1"/>
  <c r="AV361" i="1"/>
  <c r="AT362" i="1"/>
  <c r="AU362" i="1"/>
  <c r="AV362" i="1"/>
  <c r="AT363" i="1"/>
  <c r="AU363" i="1"/>
  <c r="AV363" i="1"/>
  <c r="AT364" i="1"/>
  <c r="AU364" i="1"/>
  <c r="AV364" i="1"/>
  <c r="AT365" i="1"/>
  <c r="AU365" i="1"/>
  <c r="AV365" i="1"/>
  <c r="AT366" i="1"/>
  <c r="AU366" i="1"/>
  <c r="AV366" i="1"/>
  <c r="AT367" i="1"/>
  <c r="AU367" i="1"/>
  <c r="AV367" i="1"/>
  <c r="AT368" i="1"/>
  <c r="AU368" i="1"/>
  <c r="AV368" i="1"/>
  <c r="AT369" i="1"/>
  <c r="AU369" i="1"/>
  <c r="AV369" i="1"/>
  <c r="AT370" i="1"/>
  <c r="AU370" i="1"/>
  <c r="AV370" i="1"/>
  <c r="AT371" i="1"/>
  <c r="AU371" i="1"/>
  <c r="AV371" i="1"/>
  <c r="AT372" i="1"/>
  <c r="AU372" i="1"/>
  <c r="AV372" i="1"/>
  <c r="AT373" i="1"/>
  <c r="AU373" i="1"/>
  <c r="AV373" i="1"/>
  <c r="AT374" i="1"/>
  <c r="AU374" i="1"/>
  <c r="AV374" i="1"/>
  <c r="AT375" i="1"/>
  <c r="AU375" i="1"/>
  <c r="AV375" i="1"/>
  <c r="AT376" i="1"/>
  <c r="AU376" i="1"/>
  <c r="AV376" i="1"/>
  <c r="AT377" i="1"/>
  <c r="AU377" i="1"/>
  <c r="AV377" i="1"/>
  <c r="AT378" i="1"/>
  <c r="AU378" i="1"/>
  <c r="AV378" i="1"/>
  <c r="AT379" i="1"/>
  <c r="AU379" i="1"/>
  <c r="AV379" i="1"/>
  <c r="AT380" i="1"/>
  <c r="AU380" i="1"/>
  <c r="AV380" i="1"/>
  <c r="AT381" i="1"/>
  <c r="AU381" i="1"/>
  <c r="AV381" i="1"/>
  <c r="AT382" i="1"/>
  <c r="AU382" i="1"/>
  <c r="AV382" i="1"/>
  <c r="AT383" i="1"/>
  <c r="AU383" i="1"/>
  <c r="AV383" i="1"/>
  <c r="AT384" i="1"/>
  <c r="AU384" i="1"/>
  <c r="AV384" i="1"/>
  <c r="AT385" i="1"/>
  <c r="AU385" i="1"/>
  <c r="AV385" i="1"/>
  <c r="AT386" i="1"/>
  <c r="AU386" i="1"/>
  <c r="AV386" i="1"/>
  <c r="AT387" i="1"/>
  <c r="AU387" i="1"/>
  <c r="AV387" i="1"/>
  <c r="AT388" i="1"/>
  <c r="AU388" i="1"/>
  <c r="AV388" i="1"/>
  <c r="AT389" i="1"/>
  <c r="AU389" i="1"/>
  <c r="AV389" i="1"/>
  <c r="AT390" i="1"/>
  <c r="AU390" i="1"/>
  <c r="AV390" i="1"/>
  <c r="AT391" i="1"/>
  <c r="AU391" i="1"/>
  <c r="AV391" i="1"/>
  <c r="AT392" i="1"/>
  <c r="AU392" i="1"/>
  <c r="AV392" i="1"/>
  <c r="AT393" i="1"/>
  <c r="AU393" i="1"/>
  <c r="AV393" i="1"/>
  <c r="AT394" i="1"/>
  <c r="AU394" i="1"/>
  <c r="AV394" i="1"/>
  <c r="AT395" i="1"/>
  <c r="AU395" i="1"/>
  <c r="AV395" i="1"/>
  <c r="AT396" i="1"/>
  <c r="AU396" i="1"/>
  <c r="AV396" i="1"/>
  <c r="AT397" i="1"/>
  <c r="AU397" i="1"/>
  <c r="AV397" i="1"/>
  <c r="AT398" i="1"/>
  <c r="AU398" i="1"/>
  <c r="AV398" i="1"/>
  <c r="AT399" i="1"/>
  <c r="AU399" i="1"/>
  <c r="AV399" i="1"/>
  <c r="AT400" i="1"/>
  <c r="AU400" i="1"/>
  <c r="AV400" i="1"/>
  <c r="AT401" i="1"/>
  <c r="AU401" i="1"/>
  <c r="AV401" i="1"/>
  <c r="AT402" i="1"/>
  <c r="AU402" i="1"/>
  <c r="AV402" i="1"/>
  <c r="AT403" i="1"/>
  <c r="AU403" i="1"/>
  <c r="AV403" i="1"/>
  <c r="AT404" i="1"/>
  <c r="AU404" i="1"/>
  <c r="AV404" i="1"/>
  <c r="AT405" i="1"/>
  <c r="AU405" i="1"/>
  <c r="AV405" i="1"/>
  <c r="AT406" i="1"/>
  <c r="AU406" i="1"/>
  <c r="AV406" i="1"/>
  <c r="AT407" i="1"/>
  <c r="AU407" i="1"/>
  <c r="AV407" i="1"/>
  <c r="AT408" i="1"/>
  <c r="AU408" i="1"/>
  <c r="AV408" i="1"/>
  <c r="AT409" i="1"/>
  <c r="AU409" i="1"/>
  <c r="AV409" i="1"/>
  <c r="AT410" i="1"/>
  <c r="AU410" i="1"/>
  <c r="AV410" i="1"/>
  <c r="AT411" i="1"/>
  <c r="AU411" i="1"/>
  <c r="AV411" i="1"/>
  <c r="AT412" i="1"/>
  <c r="AU412" i="1"/>
  <c r="AV412" i="1"/>
  <c r="AT413" i="1"/>
  <c r="AU413" i="1"/>
  <c r="AV413" i="1"/>
  <c r="AT414" i="1"/>
  <c r="AU414" i="1"/>
  <c r="AV414" i="1"/>
  <c r="AT415" i="1"/>
  <c r="AU415" i="1"/>
  <c r="AV415" i="1"/>
  <c r="AT416" i="1"/>
  <c r="AU416" i="1"/>
  <c r="AV416" i="1"/>
  <c r="AT417" i="1"/>
  <c r="AU417" i="1"/>
  <c r="AV417" i="1"/>
  <c r="AT418" i="1"/>
  <c r="AU418" i="1"/>
  <c r="AV418" i="1"/>
  <c r="AT419" i="1"/>
  <c r="AU419" i="1"/>
  <c r="AV419" i="1"/>
  <c r="AT420" i="1"/>
  <c r="AU420" i="1"/>
  <c r="AV420" i="1"/>
  <c r="AT421" i="1"/>
  <c r="AU421" i="1"/>
  <c r="AV421" i="1"/>
  <c r="AT422" i="1"/>
  <c r="AU422" i="1"/>
  <c r="AV422" i="1"/>
  <c r="AT423" i="1"/>
  <c r="AU423" i="1"/>
  <c r="AV423" i="1"/>
  <c r="AT424" i="1"/>
  <c r="AU424" i="1"/>
  <c r="AV424" i="1"/>
  <c r="AT425" i="1"/>
  <c r="AU425" i="1"/>
  <c r="AV425" i="1"/>
  <c r="AT426" i="1"/>
  <c r="AU426" i="1"/>
  <c r="AV426" i="1"/>
  <c r="AT427" i="1"/>
  <c r="AU427" i="1"/>
  <c r="AV427" i="1"/>
  <c r="AT428" i="1"/>
  <c r="AU428" i="1"/>
  <c r="AV428" i="1"/>
  <c r="AT429" i="1"/>
  <c r="AU429" i="1"/>
  <c r="AV429" i="1"/>
  <c r="AT430" i="1"/>
  <c r="AU430" i="1"/>
  <c r="AV430" i="1"/>
  <c r="AT431" i="1"/>
  <c r="AU431" i="1"/>
  <c r="AV431" i="1"/>
  <c r="AT432" i="1"/>
  <c r="AU432" i="1"/>
  <c r="AV432" i="1"/>
  <c r="AT433" i="1"/>
  <c r="AU433" i="1"/>
  <c r="AV433" i="1"/>
  <c r="AT434" i="1"/>
  <c r="AU434" i="1"/>
  <c r="AV434" i="1"/>
  <c r="AT435" i="1"/>
  <c r="AU435" i="1"/>
  <c r="AV435" i="1"/>
  <c r="AT436" i="1"/>
  <c r="AU436" i="1"/>
  <c r="AV436" i="1"/>
  <c r="AT437" i="1"/>
  <c r="AU437" i="1"/>
  <c r="AV437" i="1"/>
  <c r="AT438" i="1"/>
  <c r="AU438" i="1"/>
  <c r="AV438" i="1"/>
  <c r="AT439" i="1"/>
  <c r="AU439" i="1"/>
  <c r="AV439" i="1"/>
  <c r="AT440" i="1"/>
  <c r="AU440" i="1"/>
  <c r="AV440" i="1"/>
  <c r="AT441" i="1"/>
  <c r="AU441" i="1"/>
  <c r="AV441" i="1"/>
  <c r="AT442" i="1"/>
  <c r="AU442" i="1"/>
  <c r="AV442" i="1"/>
  <c r="AT443" i="1"/>
  <c r="AU443" i="1"/>
  <c r="AV443" i="1"/>
  <c r="AT444" i="1"/>
  <c r="AU444" i="1"/>
  <c r="AV444" i="1"/>
  <c r="AT445" i="1"/>
  <c r="AU445" i="1"/>
  <c r="AV445" i="1"/>
  <c r="AT446" i="1"/>
  <c r="AU446" i="1"/>
  <c r="AV446" i="1"/>
  <c r="AT447" i="1"/>
  <c r="AU447" i="1"/>
  <c r="AV447" i="1"/>
  <c r="AT448" i="1"/>
  <c r="AU448" i="1"/>
  <c r="AV448" i="1"/>
  <c r="AT449" i="1"/>
  <c r="AU449" i="1"/>
  <c r="AV449" i="1"/>
  <c r="AT450" i="1"/>
  <c r="AU450" i="1"/>
  <c r="AV450" i="1"/>
  <c r="AT451" i="1"/>
  <c r="AU451" i="1"/>
  <c r="AV451" i="1"/>
  <c r="AT452" i="1"/>
  <c r="AU452" i="1"/>
  <c r="AV452" i="1"/>
  <c r="AT453" i="1"/>
  <c r="AU453" i="1"/>
  <c r="AV453" i="1"/>
  <c r="AT454" i="1"/>
  <c r="AU454" i="1"/>
  <c r="AV454" i="1"/>
  <c r="AT455" i="1"/>
  <c r="AU455" i="1"/>
  <c r="AV455" i="1"/>
  <c r="AT456" i="1"/>
  <c r="AU456" i="1"/>
  <c r="AV456" i="1"/>
  <c r="AT457" i="1"/>
  <c r="AU457" i="1"/>
  <c r="AV457" i="1"/>
  <c r="AT458" i="1"/>
  <c r="AU458" i="1"/>
  <c r="AV458" i="1"/>
  <c r="AT459" i="1"/>
  <c r="AU459" i="1"/>
  <c r="AV459" i="1"/>
  <c r="AT460" i="1"/>
  <c r="AU460" i="1"/>
  <c r="AV460" i="1"/>
  <c r="AT461" i="1"/>
  <c r="AU461" i="1"/>
  <c r="AV461" i="1"/>
  <c r="AT462" i="1"/>
  <c r="AU462" i="1"/>
  <c r="AV462" i="1"/>
  <c r="AT463" i="1"/>
  <c r="AU463" i="1"/>
  <c r="AV463" i="1"/>
  <c r="AT464" i="1"/>
  <c r="AU464" i="1"/>
  <c r="AV464" i="1"/>
  <c r="AT465" i="1"/>
  <c r="AU465" i="1"/>
  <c r="AV465" i="1"/>
  <c r="AT466" i="1"/>
  <c r="AU466" i="1"/>
  <c r="AV466" i="1"/>
  <c r="AT467" i="1"/>
  <c r="AU467" i="1"/>
  <c r="AV467" i="1"/>
  <c r="AT468" i="1"/>
  <c r="AU468" i="1"/>
  <c r="AV468" i="1"/>
  <c r="AT469" i="1"/>
  <c r="AU469" i="1"/>
  <c r="AV469" i="1"/>
  <c r="AT470" i="1"/>
  <c r="AU470" i="1"/>
  <c r="AV470" i="1"/>
  <c r="AT471" i="1"/>
  <c r="AU471" i="1"/>
  <c r="AV471" i="1"/>
  <c r="AT472" i="1"/>
  <c r="AU472" i="1"/>
  <c r="AV472" i="1"/>
  <c r="AT473" i="1"/>
  <c r="AU473" i="1"/>
  <c r="AV473" i="1"/>
  <c r="AT474" i="1"/>
  <c r="AU474" i="1"/>
  <c r="AV474" i="1"/>
  <c r="AT475" i="1"/>
  <c r="AU475" i="1"/>
  <c r="AV475" i="1"/>
  <c r="AT476" i="1"/>
  <c r="AU476" i="1"/>
  <c r="AV476" i="1"/>
  <c r="AT477" i="1"/>
  <c r="AU477" i="1"/>
  <c r="AV477" i="1"/>
  <c r="AT478" i="1"/>
  <c r="AU478" i="1"/>
  <c r="AV478" i="1"/>
  <c r="AT479" i="1"/>
  <c r="AU479" i="1"/>
  <c r="AV479" i="1"/>
  <c r="AT480" i="1"/>
  <c r="AU480" i="1"/>
  <c r="AV480" i="1"/>
  <c r="AT481" i="1"/>
  <c r="AU481" i="1"/>
  <c r="AV481" i="1"/>
  <c r="AT482" i="1"/>
  <c r="AU482" i="1"/>
  <c r="AV482" i="1"/>
  <c r="AT483" i="1"/>
  <c r="AU483" i="1"/>
  <c r="AV483" i="1"/>
  <c r="AT484" i="1"/>
  <c r="AU484" i="1"/>
  <c r="AV484" i="1"/>
  <c r="AT485" i="1"/>
  <c r="AU485" i="1"/>
  <c r="AV485" i="1"/>
  <c r="AT486" i="1"/>
  <c r="AU486" i="1"/>
  <c r="AV486" i="1"/>
  <c r="AT487" i="1"/>
  <c r="AU487" i="1"/>
  <c r="AV487" i="1"/>
  <c r="AT488" i="1"/>
  <c r="AU488" i="1"/>
  <c r="AV488" i="1"/>
  <c r="AT489" i="1"/>
  <c r="AU489" i="1"/>
  <c r="AV489" i="1"/>
  <c r="AT490" i="1"/>
  <c r="AU490" i="1"/>
  <c r="AV490" i="1"/>
  <c r="AT491" i="1"/>
  <c r="AU491" i="1"/>
  <c r="AV491" i="1"/>
  <c r="AT492" i="1"/>
  <c r="AU492" i="1"/>
  <c r="AV492" i="1"/>
  <c r="AT493" i="1"/>
  <c r="AU493" i="1"/>
  <c r="AV493" i="1"/>
  <c r="AT494" i="1"/>
  <c r="AU494" i="1"/>
  <c r="AV494" i="1"/>
  <c r="AT495" i="1"/>
  <c r="AU495" i="1"/>
  <c r="AV495" i="1"/>
  <c r="AT496" i="1"/>
  <c r="AU496" i="1"/>
  <c r="AV496" i="1"/>
  <c r="AT497" i="1"/>
  <c r="AU497" i="1"/>
  <c r="AV497" i="1"/>
  <c r="AT498" i="1"/>
  <c r="AU498" i="1"/>
  <c r="AV498" i="1"/>
  <c r="AT499" i="1"/>
  <c r="AU499" i="1"/>
  <c r="AV499" i="1"/>
  <c r="AT500" i="1"/>
  <c r="AU500" i="1"/>
  <c r="AV500" i="1"/>
  <c r="AT501" i="1"/>
  <c r="AU501" i="1"/>
  <c r="AV501" i="1"/>
  <c r="AT502" i="1"/>
  <c r="AU502" i="1"/>
  <c r="AV502" i="1"/>
  <c r="AT503" i="1"/>
  <c r="AU503" i="1"/>
  <c r="AV503" i="1"/>
  <c r="AT504" i="1"/>
  <c r="AU504" i="1"/>
  <c r="AV504" i="1"/>
  <c r="AT505" i="1"/>
  <c r="AU505" i="1"/>
  <c r="AV505" i="1"/>
  <c r="AT506" i="1"/>
  <c r="AU506" i="1"/>
  <c r="AV506" i="1"/>
  <c r="AT507" i="1"/>
  <c r="AU507" i="1"/>
  <c r="AV507" i="1"/>
  <c r="AT508" i="1"/>
  <c r="AU508" i="1"/>
  <c r="AV508" i="1"/>
  <c r="AT509" i="1"/>
  <c r="AU509" i="1"/>
  <c r="AV509" i="1"/>
  <c r="AT510" i="1"/>
  <c r="AU510" i="1"/>
  <c r="AV510" i="1"/>
  <c r="AT511" i="1"/>
  <c r="AU511" i="1"/>
  <c r="AV511" i="1"/>
  <c r="AT512" i="1"/>
  <c r="AU512" i="1"/>
  <c r="AV512" i="1"/>
  <c r="AT513" i="1"/>
  <c r="AU513" i="1"/>
  <c r="AV513" i="1"/>
  <c r="AT514" i="1"/>
  <c r="AU514" i="1"/>
  <c r="AV514" i="1"/>
  <c r="AT515" i="1"/>
  <c r="AU515" i="1"/>
  <c r="AV515" i="1"/>
  <c r="AT516" i="1"/>
  <c r="AU516" i="1"/>
  <c r="AV516" i="1"/>
  <c r="AT517" i="1"/>
  <c r="AU517" i="1"/>
  <c r="AV517" i="1"/>
  <c r="AT518" i="1"/>
  <c r="AU518" i="1"/>
  <c r="AV518" i="1"/>
  <c r="AT519" i="1"/>
  <c r="AU519" i="1"/>
  <c r="AV519" i="1"/>
  <c r="AT520" i="1"/>
  <c r="AU520" i="1"/>
  <c r="AV520" i="1"/>
  <c r="AT521" i="1"/>
  <c r="AU521" i="1"/>
  <c r="AV521" i="1"/>
  <c r="AT522" i="1"/>
  <c r="AU522" i="1"/>
  <c r="AV522" i="1"/>
  <c r="AT523" i="1"/>
  <c r="AU523" i="1"/>
  <c r="AV523" i="1"/>
  <c r="AT524" i="1"/>
  <c r="AU524" i="1"/>
  <c r="AV524" i="1"/>
  <c r="AT525" i="1"/>
  <c r="AU525" i="1"/>
  <c r="AV525" i="1"/>
  <c r="AT526" i="1"/>
  <c r="AU526" i="1"/>
  <c r="AV526" i="1"/>
  <c r="AT527" i="1"/>
  <c r="AU527" i="1"/>
  <c r="AV527" i="1"/>
  <c r="AT528" i="1"/>
  <c r="AU528" i="1"/>
  <c r="AV528" i="1"/>
  <c r="AT529" i="1"/>
  <c r="AU529" i="1"/>
  <c r="AV529" i="1"/>
  <c r="AT530" i="1"/>
  <c r="AU530" i="1"/>
  <c r="AV530" i="1"/>
  <c r="AT531" i="1"/>
  <c r="AU531" i="1"/>
  <c r="AV531" i="1"/>
  <c r="AT532" i="1"/>
  <c r="AU532" i="1"/>
  <c r="AV532" i="1"/>
  <c r="AT533" i="1"/>
  <c r="AU533" i="1"/>
  <c r="AV533" i="1"/>
  <c r="AT534" i="1"/>
  <c r="AU534" i="1"/>
  <c r="AV534" i="1"/>
  <c r="AT535" i="1"/>
  <c r="AU535" i="1"/>
  <c r="AV535" i="1"/>
  <c r="AT536" i="1"/>
  <c r="AU536" i="1"/>
  <c r="AV536" i="1"/>
  <c r="AT537" i="1"/>
  <c r="AU537" i="1"/>
  <c r="AV537" i="1"/>
  <c r="AT538" i="1"/>
  <c r="AU538" i="1"/>
  <c r="AV538" i="1"/>
  <c r="AT539" i="1"/>
  <c r="AU539" i="1"/>
  <c r="AV539" i="1"/>
  <c r="AT540" i="1"/>
  <c r="AU540" i="1"/>
  <c r="AV540" i="1"/>
  <c r="AT541" i="1"/>
  <c r="AU541" i="1"/>
  <c r="AV541" i="1"/>
  <c r="AT542" i="1"/>
  <c r="AU542" i="1"/>
  <c r="AV542" i="1"/>
  <c r="AT543" i="1"/>
  <c r="AU543" i="1"/>
  <c r="AV543" i="1"/>
  <c r="AT544" i="1"/>
  <c r="AU544" i="1"/>
  <c r="AV544" i="1"/>
  <c r="AT545" i="1"/>
  <c r="AU545" i="1"/>
  <c r="AV545" i="1"/>
  <c r="AT546" i="1"/>
  <c r="AU546" i="1"/>
  <c r="AV546" i="1"/>
  <c r="AT547" i="1"/>
  <c r="AU547" i="1"/>
  <c r="AV547" i="1"/>
  <c r="AT548" i="1"/>
  <c r="AU548" i="1"/>
  <c r="AV548" i="1"/>
  <c r="AT549" i="1"/>
  <c r="AU549" i="1"/>
  <c r="AV549" i="1"/>
  <c r="AT550" i="1"/>
  <c r="AU550" i="1"/>
  <c r="AV550" i="1"/>
  <c r="AT551" i="1"/>
  <c r="AU551" i="1"/>
  <c r="AV551" i="1"/>
  <c r="AT552" i="1"/>
  <c r="AU552" i="1"/>
  <c r="AV552" i="1"/>
  <c r="AT553" i="1"/>
  <c r="AU553" i="1"/>
  <c r="AV553" i="1"/>
  <c r="AT554" i="1"/>
  <c r="AU554" i="1"/>
  <c r="AV554" i="1"/>
  <c r="AT555" i="1"/>
  <c r="AU555" i="1"/>
  <c r="AV555" i="1"/>
  <c r="AT556" i="1"/>
  <c r="AU556" i="1"/>
  <c r="AV556" i="1"/>
  <c r="AT557" i="1"/>
  <c r="AU557" i="1"/>
  <c r="AV557" i="1"/>
  <c r="AT558" i="1"/>
  <c r="AU558" i="1"/>
  <c r="AV558" i="1"/>
  <c r="AT559" i="1"/>
  <c r="AU559" i="1"/>
  <c r="AV559" i="1"/>
  <c r="AT560" i="1"/>
  <c r="AU560" i="1"/>
  <c r="AV560" i="1"/>
  <c r="AT561" i="1"/>
  <c r="AU561" i="1"/>
  <c r="AV561" i="1"/>
  <c r="AT562" i="1"/>
  <c r="AU562" i="1"/>
  <c r="AV562" i="1"/>
  <c r="AT563" i="1"/>
  <c r="AU563" i="1"/>
  <c r="AV563" i="1"/>
  <c r="AT564" i="1"/>
  <c r="AU564" i="1"/>
  <c r="AV564" i="1"/>
  <c r="AT565" i="1"/>
  <c r="AU565" i="1"/>
  <c r="AV565" i="1"/>
  <c r="AT566" i="1"/>
  <c r="AU566" i="1"/>
  <c r="AV566" i="1"/>
  <c r="AT567" i="1"/>
  <c r="AU567" i="1"/>
  <c r="AV567" i="1"/>
  <c r="AT568" i="1"/>
  <c r="AU568" i="1"/>
  <c r="AV568" i="1"/>
  <c r="AT569" i="1"/>
  <c r="AU569" i="1"/>
  <c r="AV569" i="1"/>
  <c r="AT570" i="1"/>
  <c r="AU570" i="1"/>
  <c r="AV570" i="1"/>
  <c r="AT571" i="1"/>
  <c r="AU571" i="1"/>
  <c r="AV571" i="1"/>
  <c r="AT572" i="1"/>
  <c r="AU572" i="1"/>
  <c r="AV572" i="1"/>
  <c r="AT573" i="1"/>
  <c r="AU573" i="1"/>
  <c r="AV573" i="1"/>
  <c r="AT574" i="1"/>
  <c r="AU574" i="1"/>
  <c r="AV574" i="1"/>
  <c r="AT575" i="1"/>
  <c r="AU575" i="1"/>
  <c r="AV575" i="1"/>
  <c r="AT576" i="1"/>
  <c r="AU576" i="1"/>
  <c r="AV576" i="1"/>
  <c r="AT577" i="1"/>
  <c r="AU577" i="1"/>
  <c r="AV577" i="1"/>
  <c r="AT578" i="1"/>
  <c r="AU578" i="1"/>
  <c r="AV578" i="1"/>
  <c r="AT579" i="1"/>
  <c r="AU579" i="1"/>
  <c r="AV579" i="1"/>
  <c r="AT580" i="1"/>
  <c r="AU580" i="1"/>
  <c r="AV580" i="1"/>
  <c r="AT581" i="1"/>
  <c r="AU581" i="1"/>
  <c r="AV581" i="1"/>
  <c r="AT582" i="1"/>
  <c r="AU582" i="1"/>
  <c r="AV582" i="1"/>
  <c r="AT583" i="1"/>
  <c r="AU583" i="1"/>
  <c r="AV583" i="1"/>
  <c r="AT584" i="1"/>
  <c r="AU584" i="1"/>
  <c r="AV584" i="1"/>
  <c r="AT585" i="1"/>
  <c r="AU585" i="1"/>
  <c r="AV585" i="1"/>
  <c r="AT586" i="1"/>
  <c r="AU586" i="1"/>
  <c r="AV586" i="1"/>
  <c r="AT587" i="1"/>
  <c r="AU587" i="1"/>
  <c r="AV587" i="1"/>
  <c r="AT588" i="1"/>
  <c r="AU588" i="1"/>
  <c r="AV588" i="1"/>
  <c r="AT589" i="1"/>
  <c r="AU589" i="1"/>
  <c r="AV589" i="1"/>
  <c r="AT590" i="1"/>
  <c r="AU590" i="1"/>
  <c r="AV590" i="1"/>
  <c r="AT591" i="1"/>
  <c r="AU591" i="1"/>
  <c r="AV591" i="1"/>
  <c r="AT592" i="1"/>
  <c r="AU592" i="1"/>
  <c r="AV592" i="1"/>
  <c r="AT593" i="1"/>
  <c r="AU593" i="1"/>
  <c r="AV593" i="1"/>
  <c r="AT594" i="1"/>
  <c r="AU594" i="1"/>
  <c r="AV594" i="1"/>
  <c r="AT595" i="1"/>
  <c r="AU595" i="1"/>
  <c r="AV595" i="1"/>
  <c r="AT596" i="1"/>
  <c r="AU596" i="1"/>
  <c r="AV596" i="1"/>
  <c r="AT597" i="1"/>
  <c r="AU597" i="1"/>
  <c r="AV597" i="1"/>
  <c r="AT598" i="1"/>
  <c r="AU598" i="1"/>
  <c r="AV598" i="1"/>
  <c r="AT599" i="1"/>
  <c r="AU599" i="1"/>
  <c r="AV599" i="1"/>
  <c r="AT600" i="1"/>
  <c r="AU600" i="1"/>
  <c r="AV600" i="1"/>
  <c r="AT601" i="1"/>
  <c r="AU601" i="1"/>
  <c r="AV601" i="1"/>
  <c r="AT602" i="1"/>
  <c r="AU602" i="1"/>
  <c r="AV602" i="1"/>
  <c r="AT603" i="1"/>
  <c r="AU603" i="1"/>
  <c r="AV603" i="1"/>
  <c r="AT604" i="1"/>
  <c r="AU604" i="1"/>
  <c r="AV604" i="1"/>
  <c r="AT605" i="1"/>
  <c r="AU605" i="1"/>
  <c r="AV605" i="1"/>
  <c r="AT606" i="1"/>
  <c r="AU606" i="1"/>
  <c r="AV606" i="1"/>
  <c r="AT607" i="1"/>
  <c r="AU607" i="1"/>
  <c r="AV607" i="1"/>
  <c r="AT608" i="1"/>
  <c r="AU608" i="1"/>
  <c r="AV608" i="1"/>
  <c r="AT609" i="1"/>
  <c r="AU609" i="1"/>
  <c r="AV609" i="1"/>
  <c r="AT610" i="1"/>
  <c r="AU610" i="1"/>
  <c r="AV610" i="1"/>
  <c r="AT611" i="1"/>
  <c r="AU611" i="1"/>
  <c r="AV611" i="1"/>
  <c r="AT612" i="1"/>
  <c r="AU612" i="1"/>
  <c r="AV612" i="1"/>
  <c r="AT613" i="1"/>
  <c r="AU613" i="1"/>
  <c r="AV613" i="1"/>
  <c r="AT614" i="1"/>
  <c r="AU614" i="1"/>
  <c r="AV614" i="1"/>
  <c r="AT615" i="1"/>
  <c r="AU615" i="1"/>
  <c r="AV615" i="1"/>
  <c r="AT616" i="1"/>
  <c r="AU616" i="1"/>
  <c r="AV616" i="1"/>
  <c r="AT617" i="1"/>
  <c r="AU617" i="1"/>
  <c r="AV617" i="1"/>
  <c r="AT618" i="1"/>
  <c r="AU618" i="1"/>
  <c r="AV618" i="1"/>
  <c r="AT619" i="1"/>
  <c r="AU619" i="1"/>
  <c r="AV619" i="1"/>
  <c r="AT620" i="1"/>
  <c r="AU620" i="1"/>
  <c r="AV620" i="1"/>
  <c r="AT621" i="1"/>
  <c r="AU621" i="1"/>
  <c r="AV621" i="1"/>
  <c r="AT622" i="1"/>
  <c r="AU622" i="1"/>
  <c r="AV622" i="1"/>
  <c r="AT623" i="1"/>
  <c r="AU623" i="1"/>
  <c r="AV623" i="1"/>
  <c r="AT624" i="1"/>
  <c r="AU624" i="1"/>
  <c r="AV624" i="1"/>
  <c r="AT625" i="1"/>
  <c r="AU625" i="1"/>
  <c r="AV625" i="1"/>
  <c r="AT626" i="1"/>
  <c r="AU626" i="1"/>
  <c r="AV626" i="1"/>
  <c r="AT627" i="1"/>
  <c r="AU627" i="1"/>
  <c r="AV627" i="1"/>
  <c r="AT628" i="1"/>
  <c r="AU628" i="1"/>
  <c r="AV628" i="1"/>
  <c r="AT629" i="1"/>
  <c r="AU629" i="1"/>
  <c r="AV629" i="1"/>
  <c r="AT630" i="1"/>
  <c r="AU630" i="1"/>
  <c r="AV630" i="1"/>
  <c r="AT631" i="1"/>
  <c r="AU631" i="1"/>
  <c r="AV631" i="1"/>
  <c r="AT632" i="1"/>
  <c r="AU632" i="1"/>
  <c r="AV632" i="1"/>
  <c r="AT633" i="1"/>
  <c r="AU633" i="1"/>
  <c r="AV633" i="1"/>
  <c r="AT634" i="1"/>
  <c r="AU634" i="1"/>
  <c r="AV634" i="1"/>
  <c r="AT635" i="1"/>
  <c r="AU635" i="1"/>
  <c r="AV635" i="1"/>
  <c r="AT636" i="1"/>
  <c r="AU636" i="1"/>
  <c r="AV636" i="1"/>
  <c r="AT637" i="1"/>
  <c r="AU637" i="1"/>
  <c r="AV637" i="1"/>
  <c r="AT638" i="1"/>
  <c r="AU638" i="1"/>
  <c r="AV638" i="1"/>
  <c r="AT639" i="1"/>
  <c r="AU639" i="1"/>
  <c r="AV639" i="1"/>
  <c r="AT640" i="1"/>
  <c r="AU640" i="1"/>
  <c r="AV640" i="1"/>
  <c r="AT641" i="1"/>
  <c r="AU641" i="1"/>
  <c r="AV641" i="1"/>
  <c r="AT642" i="1"/>
  <c r="AU642" i="1"/>
  <c r="AV642" i="1"/>
  <c r="AT643" i="1"/>
  <c r="AU643" i="1"/>
  <c r="AV643" i="1"/>
  <c r="AT644" i="1"/>
  <c r="AU644" i="1"/>
  <c r="AV644" i="1"/>
  <c r="AT645" i="1"/>
  <c r="AU645" i="1"/>
  <c r="AV645" i="1"/>
  <c r="AT646" i="1"/>
  <c r="AU646" i="1"/>
  <c r="AV646" i="1"/>
  <c r="AT647" i="1"/>
  <c r="AU647" i="1"/>
  <c r="AV647" i="1"/>
  <c r="AT648" i="1"/>
  <c r="AU648" i="1"/>
  <c r="AV648" i="1"/>
  <c r="AT649" i="1"/>
  <c r="AU649" i="1"/>
  <c r="AV649" i="1"/>
  <c r="AT650" i="1"/>
  <c r="AU650" i="1"/>
  <c r="AV650" i="1"/>
  <c r="AT651" i="1"/>
  <c r="AU651" i="1"/>
  <c r="AV651" i="1"/>
  <c r="AT652" i="1"/>
  <c r="AU652" i="1"/>
  <c r="AV652" i="1"/>
  <c r="AT653" i="1"/>
  <c r="AU653" i="1"/>
  <c r="AV653" i="1"/>
  <c r="AT654" i="1"/>
  <c r="AU654" i="1"/>
  <c r="AV654" i="1"/>
  <c r="AT655" i="1"/>
  <c r="AU655" i="1"/>
  <c r="AV655" i="1"/>
  <c r="AT656" i="1"/>
  <c r="AU656" i="1"/>
  <c r="AV656" i="1"/>
  <c r="AT657" i="1"/>
  <c r="AU657" i="1"/>
  <c r="AV657" i="1"/>
  <c r="AT658" i="1"/>
  <c r="AU658" i="1"/>
  <c r="AV658" i="1"/>
  <c r="AT659" i="1"/>
  <c r="AU659" i="1"/>
  <c r="AV659" i="1"/>
  <c r="AT660" i="1"/>
  <c r="AU660" i="1"/>
  <c r="AV660" i="1"/>
  <c r="AT661" i="1"/>
  <c r="AU661" i="1"/>
  <c r="AV661" i="1"/>
  <c r="AT662" i="1"/>
  <c r="AU662" i="1"/>
  <c r="AV662" i="1"/>
  <c r="AT663" i="1"/>
  <c r="AU663" i="1"/>
  <c r="AV663" i="1"/>
  <c r="AT664" i="1"/>
  <c r="AU664" i="1"/>
  <c r="AV664" i="1"/>
  <c r="AT665" i="1"/>
  <c r="AU665" i="1"/>
  <c r="AV665" i="1"/>
  <c r="AT666" i="1"/>
  <c r="AU666" i="1"/>
  <c r="AV666" i="1"/>
  <c r="AT667" i="1"/>
  <c r="AU667" i="1"/>
  <c r="AV667" i="1"/>
  <c r="AT668" i="1"/>
  <c r="AU668" i="1"/>
  <c r="AV668" i="1"/>
  <c r="AT669" i="1"/>
  <c r="AU669" i="1"/>
  <c r="AV669" i="1"/>
  <c r="AT670" i="1"/>
  <c r="AU670" i="1"/>
  <c r="AV670" i="1"/>
  <c r="AT671" i="1"/>
  <c r="AU671" i="1"/>
  <c r="AV671" i="1"/>
  <c r="AT672" i="1"/>
  <c r="AU672" i="1"/>
  <c r="AV672" i="1"/>
  <c r="AT673" i="1"/>
  <c r="AU673" i="1"/>
  <c r="AV673" i="1"/>
  <c r="AT674" i="1"/>
  <c r="AU674" i="1"/>
  <c r="AV674" i="1"/>
  <c r="AT675" i="1"/>
  <c r="AU675" i="1"/>
  <c r="AV675" i="1"/>
  <c r="AT676" i="1"/>
  <c r="AU676" i="1"/>
  <c r="AV676" i="1"/>
  <c r="AT677" i="1"/>
  <c r="AU677" i="1"/>
  <c r="AV677" i="1"/>
  <c r="AT678" i="1"/>
  <c r="AU678" i="1"/>
  <c r="AV678" i="1"/>
  <c r="AT679" i="1"/>
  <c r="AU679" i="1"/>
  <c r="AV679" i="1"/>
  <c r="AT680" i="1"/>
  <c r="AU680" i="1"/>
  <c r="AV680" i="1"/>
  <c r="AT681" i="1"/>
  <c r="AU681" i="1"/>
  <c r="AV681" i="1"/>
  <c r="AT682" i="1"/>
  <c r="AU682" i="1"/>
  <c r="AV682" i="1"/>
  <c r="AT683" i="1"/>
  <c r="AU683" i="1"/>
  <c r="AV683" i="1"/>
  <c r="AT684" i="1"/>
  <c r="AU684" i="1"/>
  <c r="AV684" i="1"/>
  <c r="AT685" i="1"/>
  <c r="AU685" i="1"/>
  <c r="AV685" i="1"/>
  <c r="AT686" i="1"/>
  <c r="AU686" i="1"/>
  <c r="AV686" i="1"/>
  <c r="AT687" i="1"/>
  <c r="AU687" i="1"/>
  <c r="AV687" i="1"/>
  <c r="AT688" i="1"/>
  <c r="AU688" i="1"/>
  <c r="AV688" i="1"/>
  <c r="AT689" i="1"/>
  <c r="AU689" i="1"/>
  <c r="AV689" i="1"/>
  <c r="AT690" i="1"/>
  <c r="AU690" i="1"/>
  <c r="AV690" i="1"/>
  <c r="AT691" i="1"/>
  <c r="AU691" i="1"/>
  <c r="AV691" i="1"/>
  <c r="AT692" i="1"/>
  <c r="AU692" i="1"/>
  <c r="AV692" i="1"/>
  <c r="AT693" i="1"/>
  <c r="AU693" i="1"/>
  <c r="AV693" i="1"/>
  <c r="AT694" i="1"/>
  <c r="AU694" i="1"/>
  <c r="AV694" i="1"/>
  <c r="AT695" i="1"/>
  <c r="AU695" i="1"/>
  <c r="AV695" i="1"/>
  <c r="AT696" i="1"/>
  <c r="AU696" i="1"/>
  <c r="AV696" i="1"/>
  <c r="AT697" i="1"/>
  <c r="AU697" i="1"/>
  <c r="AV697" i="1"/>
  <c r="AT698" i="1"/>
  <c r="AU698" i="1"/>
  <c r="AV698" i="1"/>
  <c r="AT699" i="1"/>
  <c r="AU699" i="1"/>
  <c r="AV699" i="1"/>
  <c r="AT700" i="1"/>
  <c r="AU700" i="1"/>
  <c r="AV700" i="1"/>
  <c r="AT701" i="1"/>
  <c r="AU701" i="1"/>
  <c r="AV701" i="1"/>
  <c r="AT702" i="1"/>
  <c r="AU702" i="1"/>
  <c r="AV702" i="1"/>
  <c r="AT703" i="1"/>
  <c r="AU703" i="1"/>
  <c r="AV703" i="1"/>
  <c r="AT704" i="1"/>
  <c r="AU704" i="1"/>
  <c r="AV704" i="1"/>
  <c r="AT705" i="1"/>
  <c r="AU705" i="1"/>
  <c r="AV705" i="1"/>
  <c r="AT706" i="1"/>
  <c r="AU706" i="1"/>
  <c r="AV706" i="1"/>
  <c r="AT707" i="1"/>
  <c r="AU707" i="1"/>
  <c r="AV707" i="1"/>
  <c r="AT708" i="1"/>
  <c r="AU708" i="1"/>
  <c r="AV708" i="1"/>
  <c r="AT709" i="1"/>
  <c r="AU709" i="1"/>
  <c r="AV709" i="1"/>
  <c r="AT710" i="1"/>
  <c r="AU710" i="1"/>
  <c r="AV710" i="1"/>
  <c r="AT711" i="1"/>
  <c r="AU711" i="1"/>
  <c r="AV711" i="1"/>
  <c r="AT712" i="1"/>
  <c r="AU712" i="1"/>
  <c r="AV712" i="1"/>
  <c r="AT713" i="1"/>
  <c r="AU713" i="1"/>
  <c r="AV713" i="1"/>
  <c r="AT714" i="1"/>
  <c r="AU714" i="1"/>
  <c r="AV714" i="1"/>
  <c r="AT715" i="1"/>
  <c r="AU715" i="1"/>
  <c r="AV715" i="1"/>
  <c r="AT716" i="1"/>
  <c r="AU716" i="1"/>
  <c r="AV716" i="1"/>
  <c r="AT717" i="1"/>
  <c r="AU717" i="1"/>
  <c r="AV717" i="1"/>
  <c r="AT718" i="1"/>
  <c r="AU718" i="1"/>
  <c r="AV718" i="1"/>
  <c r="AT719" i="1"/>
  <c r="AU719" i="1"/>
  <c r="AV719" i="1"/>
  <c r="AT720" i="1"/>
  <c r="AU720" i="1"/>
  <c r="AV720" i="1"/>
  <c r="AT721" i="1"/>
  <c r="AU721" i="1"/>
  <c r="AV721" i="1"/>
  <c r="AT722" i="1"/>
  <c r="AU722" i="1"/>
  <c r="AV722" i="1"/>
  <c r="AT723" i="1"/>
  <c r="AU723" i="1"/>
  <c r="AV723" i="1"/>
  <c r="AT724" i="1"/>
  <c r="AU724" i="1"/>
  <c r="AV724" i="1"/>
  <c r="AT725" i="1"/>
  <c r="AU725" i="1"/>
  <c r="AV725" i="1"/>
  <c r="AT726" i="1"/>
  <c r="AU726" i="1"/>
  <c r="AV726" i="1"/>
  <c r="AT727" i="1"/>
  <c r="AU727" i="1"/>
  <c r="AV727" i="1"/>
  <c r="AT728" i="1"/>
  <c r="AU728" i="1"/>
  <c r="AV728" i="1"/>
  <c r="AT729" i="1"/>
  <c r="AU729" i="1"/>
  <c r="AV729" i="1"/>
  <c r="AT730" i="1"/>
  <c r="AU730" i="1"/>
  <c r="AV730" i="1"/>
  <c r="AT731" i="1"/>
  <c r="AU731" i="1"/>
  <c r="AV731" i="1"/>
  <c r="AT732" i="1"/>
  <c r="AU732" i="1"/>
  <c r="AV732" i="1"/>
  <c r="AT733" i="1"/>
  <c r="AU733" i="1"/>
  <c r="AV733" i="1"/>
  <c r="AT734" i="1"/>
  <c r="AU734" i="1"/>
  <c r="AV734" i="1"/>
  <c r="AT735" i="1"/>
  <c r="AU735" i="1"/>
  <c r="AV735" i="1"/>
  <c r="AT736" i="1"/>
  <c r="AU736" i="1"/>
  <c r="AV736" i="1"/>
  <c r="AT737" i="1"/>
  <c r="AU737" i="1"/>
  <c r="AV737" i="1"/>
  <c r="AT738" i="1"/>
  <c r="AU738" i="1"/>
  <c r="AV738" i="1"/>
  <c r="AT739" i="1"/>
  <c r="AU739" i="1"/>
  <c r="AV739" i="1"/>
  <c r="AT740" i="1"/>
  <c r="AU740" i="1"/>
  <c r="AV740" i="1"/>
  <c r="AT741" i="1"/>
  <c r="AU741" i="1"/>
  <c r="AV741" i="1"/>
  <c r="AT742" i="1"/>
  <c r="AU742" i="1"/>
  <c r="AV742" i="1"/>
  <c r="AT743" i="1"/>
  <c r="AU743" i="1"/>
  <c r="AV743" i="1"/>
  <c r="AT744" i="1"/>
  <c r="AU744" i="1"/>
  <c r="AV744" i="1"/>
  <c r="AT745" i="1"/>
  <c r="AU745" i="1"/>
  <c r="AV745" i="1"/>
  <c r="AT746" i="1"/>
  <c r="AU746" i="1"/>
  <c r="AV746" i="1"/>
  <c r="AT747" i="1"/>
  <c r="AU747" i="1"/>
  <c r="AV747" i="1"/>
  <c r="AT748" i="1"/>
  <c r="AU748" i="1"/>
  <c r="AV748" i="1"/>
  <c r="L25" i="2" l="1"/>
  <c r="L26" i="2"/>
  <c r="L27" i="2"/>
  <c r="L28" i="2"/>
  <c r="L29" i="2"/>
  <c r="L30" i="2"/>
  <c r="L24" i="2"/>
  <c r="L31" i="2" l="1"/>
  <c r="R25" i="2"/>
  <c r="R26" i="2"/>
  <c r="R27" i="2"/>
  <c r="R28" i="2"/>
  <c r="R29" i="2"/>
  <c r="R30" i="2"/>
  <c r="R24" i="2"/>
  <c r="O25" i="2"/>
  <c r="O26" i="2"/>
  <c r="O27" i="2"/>
  <c r="O28" i="2"/>
  <c r="O29" i="2"/>
  <c r="O30" i="2"/>
  <c r="O24" i="2"/>
  <c r="R31" i="2" l="1"/>
  <c r="O31" i="2"/>
  <c r="S25" i="2"/>
  <c r="S26" i="2"/>
  <c r="S27" i="2"/>
  <c r="S28" i="2"/>
  <c r="S29" i="2"/>
  <c r="S30" i="2"/>
  <c r="S24" i="2"/>
  <c r="E25" i="2"/>
  <c r="E26" i="2"/>
  <c r="E27" i="2"/>
  <c r="E28" i="2"/>
  <c r="E29" i="2"/>
  <c r="E30" i="2"/>
  <c r="E24" i="2"/>
  <c r="K25" i="2"/>
  <c r="K26" i="2"/>
  <c r="K27" i="2"/>
  <c r="K28" i="2"/>
  <c r="K29" i="2"/>
  <c r="K30" i="2"/>
  <c r="K24" i="2"/>
  <c r="Q30" i="2"/>
  <c r="P30" i="2"/>
  <c r="N30" i="2"/>
  <c r="Q29" i="2"/>
  <c r="P29" i="2"/>
  <c r="N29" i="2"/>
  <c r="Q28" i="2"/>
  <c r="P28" i="2"/>
  <c r="N28" i="2"/>
  <c r="Q27" i="2"/>
  <c r="P27" i="2"/>
  <c r="N27" i="2"/>
  <c r="Q26" i="2"/>
  <c r="P26" i="2"/>
  <c r="N26" i="2"/>
  <c r="Q25" i="2"/>
  <c r="P25" i="2"/>
  <c r="N25" i="2"/>
  <c r="Q24" i="2"/>
  <c r="P24" i="2"/>
  <c r="N24" i="2"/>
  <c r="J24" i="2"/>
  <c r="I24" i="2"/>
  <c r="H24" i="2"/>
  <c r="G24" i="2"/>
  <c r="F24" i="2"/>
  <c r="D24" i="2"/>
  <c r="C24" i="2"/>
  <c r="B24" i="2"/>
  <c r="S31" i="2" l="1"/>
  <c r="E31" i="2"/>
  <c r="P31" i="2"/>
  <c r="K31" i="2"/>
  <c r="Q31" i="2"/>
  <c r="N31" i="2"/>
  <c r="H36" i="2"/>
  <c r="H37" i="2"/>
  <c r="H38" i="2"/>
  <c r="H39" i="2"/>
  <c r="H40" i="2"/>
  <c r="H41" i="2"/>
  <c r="H35" i="2"/>
  <c r="D8" i="2"/>
  <c r="E8" i="2" s="1"/>
  <c r="C8" i="2"/>
  <c r="H42" i="2" l="1"/>
  <c r="G36" i="2" l="1"/>
  <c r="G37" i="2"/>
  <c r="G38" i="2"/>
  <c r="G39" i="2"/>
  <c r="G40" i="2"/>
  <c r="G41" i="2"/>
  <c r="G35" i="2"/>
  <c r="D7" i="2" l="1"/>
  <c r="E7" i="2" s="1"/>
  <c r="C7" i="2"/>
  <c r="C3" i="2"/>
  <c r="C4" i="2"/>
  <c r="C5" i="2"/>
  <c r="C6" i="2"/>
  <c r="F36" i="2" l="1"/>
  <c r="E36" i="2"/>
  <c r="D36" i="2"/>
  <c r="C36" i="2"/>
  <c r="B36" i="2"/>
  <c r="M25" i="2"/>
  <c r="J25" i="2"/>
  <c r="I25" i="2"/>
  <c r="H25" i="2"/>
  <c r="G25" i="2"/>
  <c r="F25" i="2"/>
  <c r="D25" i="2"/>
  <c r="C25" i="2"/>
  <c r="B25" i="2"/>
  <c r="M14" i="2"/>
  <c r="K14" i="2"/>
  <c r="J14" i="2"/>
  <c r="I14" i="2"/>
  <c r="H14" i="2"/>
  <c r="G14" i="2"/>
  <c r="F14" i="2"/>
  <c r="E14" i="2"/>
  <c r="D14" i="2"/>
  <c r="C14" i="2"/>
  <c r="B14" i="2"/>
  <c r="T25" i="2" l="1"/>
  <c r="I36" i="2"/>
  <c r="N14" i="2"/>
  <c r="F37" i="2"/>
  <c r="F38" i="2"/>
  <c r="F39" i="2"/>
  <c r="F40" i="2"/>
  <c r="F41" i="2"/>
  <c r="E40" i="2"/>
  <c r="E41" i="2"/>
  <c r="E37" i="2"/>
  <c r="E38" i="2"/>
  <c r="E39" i="2"/>
  <c r="D37" i="2"/>
  <c r="D38" i="2"/>
  <c r="D39" i="2"/>
  <c r="D40" i="2"/>
  <c r="D41" i="2"/>
  <c r="C37" i="2"/>
  <c r="C38" i="2"/>
  <c r="C39" i="2"/>
  <c r="C40" i="2"/>
  <c r="C41" i="2"/>
  <c r="B37" i="2"/>
  <c r="B38" i="2"/>
  <c r="B39" i="2"/>
  <c r="B40" i="2"/>
  <c r="B41" i="2"/>
  <c r="F35" i="2"/>
  <c r="E35" i="2"/>
  <c r="D35" i="2"/>
  <c r="C35" i="2"/>
  <c r="B35" i="2"/>
  <c r="M26" i="2"/>
  <c r="M27" i="2"/>
  <c r="M28" i="2"/>
  <c r="M29" i="2"/>
  <c r="M30" i="2"/>
  <c r="J26" i="2"/>
  <c r="J27" i="2"/>
  <c r="J28" i="2"/>
  <c r="J29" i="2"/>
  <c r="J30" i="2"/>
  <c r="I30" i="2"/>
  <c r="I26" i="2"/>
  <c r="I27" i="2"/>
  <c r="I28" i="2"/>
  <c r="I29" i="2"/>
  <c r="H26" i="2"/>
  <c r="H27" i="2"/>
  <c r="H28" i="2"/>
  <c r="H29" i="2"/>
  <c r="H30" i="2"/>
  <c r="F26" i="2"/>
  <c r="F27" i="2"/>
  <c r="F28" i="2"/>
  <c r="F29" i="2"/>
  <c r="F30" i="2"/>
  <c r="G26" i="2"/>
  <c r="G27" i="2"/>
  <c r="G28" i="2"/>
  <c r="G29" i="2"/>
  <c r="G30" i="2"/>
  <c r="D30" i="2"/>
  <c r="D26" i="2"/>
  <c r="D27" i="2"/>
  <c r="D28" i="2"/>
  <c r="D29" i="2"/>
  <c r="C26" i="2"/>
  <c r="C27" i="2"/>
  <c r="C28" i="2"/>
  <c r="C29" i="2"/>
  <c r="C30" i="2"/>
  <c r="B26" i="2"/>
  <c r="B27" i="2"/>
  <c r="B28" i="2"/>
  <c r="B29" i="2"/>
  <c r="B30" i="2"/>
  <c r="M24" i="2"/>
  <c r="T24" i="2" s="1"/>
  <c r="I41" i="2" l="1"/>
  <c r="I37" i="2"/>
  <c r="T28" i="2"/>
  <c r="I40" i="2"/>
  <c r="T26" i="2"/>
  <c r="T30" i="2"/>
  <c r="T27" i="2"/>
  <c r="T29" i="2"/>
  <c r="I39" i="2"/>
  <c r="I35" i="2"/>
  <c r="I38" i="2"/>
  <c r="M15" i="2"/>
  <c r="M16" i="2"/>
  <c r="M17" i="2"/>
  <c r="M18" i="2"/>
  <c r="M19" i="2"/>
  <c r="K15" i="2"/>
  <c r="K16" i="2"/>
  <c r="K17" i="2"/>
  <c r="K18" i="2"/>
  <c r="K19" i="2"/>
  <c r="J15" i="2"/>
  <c r="J16" i="2"/>
  <c r="J17" i="2"/>
  <c r="J18" i="2"/>
  <c r="J19" i="2"/>
  <c r="I15" i="2"/>
  <c r="I16" i="2"/>
  <c r="I17" i="2"/>
  <c r="I18" i="2"/>
  <c r="I19" i="2"/>
  <c r="H15" i="2"/>
  <c r="H16" i="2"/>
  <c r="H17" i="2"/>
  <c r="H18" i="2"/>
  <c r="H19" i="2"/>
  <c r="G15" i="2"/>
  <c r="G16" i="2"/>
  <c r="G17" i="2"/>
  <c r="G18" i="2"/>
  <c r="G19" i="2"/>
  <c r="F15" i="2"/>
  <c r="F16" i="2"/>
  <c r="F17" i="2"/>
  <c r="F18" i="2"/>
  <c r="F19" i="2"/>
  <c r="E15" i="2"/>
  <c r="E16" i="2"/>
  <c r="E17" i="2"/>
  <c r="E18" i="2"/>
  <c r="E19" i="2"/>
  <c r="D15" i="2"/>
  <c r="D16" i="2"/>
  <c r="D17" i="2"/>
  <c r="D18" i="2"/>
  <c r="D19" i="2"/>
  <c r="M13" i="2"/>
  <c r="K13" i="2"/>
  <c r="J13" i="2"/>
  <c r="I13" i="2"/>
  <c r="H13" i="2"/>
  <c r="G13" i="2"/>
  <c r="F13" i="2"/>
  <c r="E13" i="2"/>
  <c r="D13" i="2"/>
  <c r="C15" i="2"/>
  <c r="C16" i="2"/>
  <c r="C17" i="2"/>
  <c r="C18" i="2"/>
  <c r="C19" i="2"/>
  <c r="C13" i="2"/>
  <c r="B15" i="2"/>
  <c r="B16" i="2"/>
  <c r="B17" i="2"/>
  <c r="B18" i="2"/>
  <c r="B19" i="2"/>
  <c r="B13" i="2"/>
  <c r="D6" i="2"/>
  <c r="D5" i="2"/>
  <c r="D4" i="2"/>
  <c r="D3" i="2"/>
  <c r="D2" i="2"/>
  <c r="C2" i="2"/>
  <c r="T31" i="2" l="1"/>
  <c r="D9" i="2"/>
  <c r="I42" i="2"/>
  <c r="G42" i="2"/>
  <c r="C42" i="2"/>
  <c r="D42" i="2"/>
  <c r="E42" i="2"/>
  <c r="F42" i="2"/>
  <c r="B42" i="2"/>
  <c r="C31" i="2"/>
  <c r="D31" i="2"/>
  <c r="F31" i="2"/>
  <c r="G31" i="2"/>
  <c r="H31" i="2"/>
  <c r="I31" i="2"/>
  <c r="J31" i="2"/>
  <c r="M31" i="2"/>
  <c r="B31" i="2"/>
  <c r="N15" i="2"/>
  <c r="N16" i="2"/>
  <c r="N17" i="2"/>
  <c r="N18" i="2"/>
  <c r="N19" i="2"/>
  <c r="D20" i="2"/>
  <c r="E20" i="2"/>
  <c r="F20" i="2"/>
  <c r="G20" i="2"/>
  <c r="H20" i="2"/>
  <c r="I20" i="2"/>
  <c r="J20" i="2"/>
  <c r="K20" i="2"/>
  <c r="M20" i="2"/>
  <c r="B20" i="2"/>
  <c r="C20" i="2"/>
  <c r="E2" i="2"/>
  <c r="N13" i="2" l="1"/>
  <c r="N20" i="2" s="1"/>
  <c r="E6" i="2" l="1"/>
  <c r="E5" i="2"/>
  <c r="E4" i="2"/>
  <c r="E3" i="2"/>
  <c r="E9" i="2" l="1"/>
  <c r="F7" i="2" s="1"/>
  <c r="F3" i="2" l="1"/>
  <c r="F5" i="2"/>
  <c r="F8" i="2"/>
  <c r="F2" i="2"/>
  <c r="F6" i="2"/>
  <c r="F4" i="2"/>
  <c r="F9" i="2" l="1"/>
</calcChain>
</file>

<file path=xl/sharedStrings.xml><?xml version="1.0" encoding="utf-8"?>
<sst xmlns="http://schemas.openxmlformats.org/spreadsheetml/2006/main" count="3115" uniqueCount="1551">
  <si>
    <t/>
  </si>
  <si>
    <t>Governorate of Last Displacement</t>
  </si>
  <si>
    <t>Shelter Type</t>
  </si>
  <si>
    <t>Period of Former Displacement</t>
  </si>
  <si>
    <t>Governorate</t>
  </si>
  <si>
    <t>District</t>
  </si>
  <si>
    <t>Latitude</t>
  </si>
  <si>
    <t>Longitude</t>
  </si>
  <si>
    <t>Anbar</t>
  </si>
  <si>
    <t>Babylon</t>
  </si>
  <si>
    <t>Baghdad</t>
  </si>
  <si>
    <t>Basrah</t>
  </si>
  <si>
    <t>Dahuk</t>
  </si>
  <si>
    <t>Diyala</t>
  </si>
  <si>
    <t>Erbil</t>
  </si>
  <si>
    <t>Kerbala</t>
  </si>
  <si>
    <t>Kirkuk</t>
  </si>
  <si>
    <t>Missan</t>
  </si>
  <si>
    <t>Muthanna</t>
  </si>
  <si>
    <t>Najaf</t>
  </si>
  <si>
    <t>Ninewa</t>
  </si>
  <si>
    <t>Qadissiya</t>
  </si>
  <si>
    <t>Salah al-Din</t>
  </si>
  <si>
    <t>Sulaymaniyah</t>
  </si>
  <si>
    <t>Thi-Qar</t>
  </si>
  <si>
    <t>Wassit</t>
  </si>
  <si>
    <t>Camp</t>
  </si>
  <si>
    <t>Rented houses</t>
  </si>
  <si>
    <t>Host Families</t>
  </si>
  <si>
    <t>School Building</t>
  </si>
  <si>
    <t>Religious Building</t>
  </si>
  <si>
    <t>Unfinished/Abandoned building</t>
  </si>
  <si>
    <t>Informal settlements</t>
  </si>
  <si>
    <t>Hotel/Motel</t>
  </si>
  <si>
    <t>Habitual residence</t>
  </si>
  <si>
    <t>Other shelter type</t>
  </si>
  <si>
    <t>Unknown shelter type</t>
  </si>
  <si>
    <t xml:space="preserve">Period of Former Displacement </t>
  </si>
  <si>
    <t># Locations</t>
  </si>
  <si>
    <t xml:space="preserve">Returnees Families </t>
  </si>
  <si>
    <t xml:space="preserve">Returnees Individuals </t>
  </si>
  <si>
    <t>%</t>
  </si>
  <si>
    <t>2- June-July14</t>
  </si>
  <si>
    <t>3- August14</t>
  </si>
  <si>
    <t>4- Post September14</t>
  </si>
  <si>
    <t>5- Post April15</t>
  </si>
  <si>
    <t>Governorate of Return</t>
  </si>
  <si>
    <t>Total</t>
  </si>
  <si>
    <t xml:space="preserve">    Total</t>
  </si>
  <si>
    <t xml:space="preserve">Governorate of Last Displacement </t>
  </si>
  <si>
    <t xml:space="preserve">Pre-June14 </t>
  </si>
  <si>
    <t xml:space="preserve">June-July14 </t>
  </si>
  <si>
    <t>August14</t>
  </si>
  <si>
    <t xml:space="preserve">Post September14 </t>
  </si>
  <si>
    <t xml:space="preserve">Post April15 </t>
  </si>
  <si>
    <t>Families</t>
  </si>
  <si>
    <t>Individuals</t>
  </si>
  <si>
    <t>Link for Map</t>
  </si>
  <si>
    <t>Open Street Map</t>
  </si>
  <si>
    <t>Google Map</t>
  </si>
  <si>
    <t>Bing Map</t>
  </si>
  <si>
    <t>Unfinished/
Abandoned building</t>
  </si>
  <si>
    <t>Place id</t>
  </si>
  <si>
    <t>Location name
in English</t>
  </si>
  <si>
    <t xml:space="preserve">Location name
in Arabic </t>
  </si>
  <si>
    <t>Location of Return</t>
  </si>
  <si>
    <t>Pre-June14 Period</t>
  </si>
  <si>
    <t>June-July14 Period</t>
  </si>
  <si>
    <t>August14 Period</t>
  </si>
  <si>
    <t>Post September14 Period</t>
  </si>
  <si>
    <t>Post April15 Period</t>
  </si>
  <si>
    <t>Post Mar16 Period</t>
  </si>
  <si>
    <t>6- Post March 2016</t>
  </si>
  <si>
    <t>Post March16</t>
  </si>
  <si>
    <t>Post
 October16</t>
  </si>
  <si>
    <t>Post 17 October 16 Period</t>
  </si>
  <si>
    <t>1- Pre-June14</t>
  </si>
  <si>
    <t>7- Post 17October 2016</t>
  </si>
  <si>
    <t>DTM : Returnee Master List Date 30-07-2017</t>
  </si>
  <si>
    <t>Al-Rutba</t>
  </si>
  <si>
    <t>Al Hara</t>
  </si>
  <si>
    <t>حي الحارة</t>
  </si>
  <si>
    <t>Al Intesar</t>
  </si>
  <si>
    <t>حي الانتصار</t>
  </si>
  <si>
    <t>Al Wadi</t>
  </si>
  <si>
    <t>حي الوادي</t>
  </si>
  <si>
    <t>Al-Daraemah Village</t>
  </si>
  <si>
    <t>قرية الدراعمة</t>
  </si>
  <si>
    <t>Hay Al Mattar</t>
  </si>
  <si>
    <t>حي المطار</t>
  </si>
  <si>
    <t>Hay Al Meethagh</t>
  </si>
  <si>
    <t>حي الميثاق</t>
  </si>
  <si>
    <t>Hay Gharb Al Wadi</t>
  </si>
  <si>
    <t>حي غرب الوادي</t>
  </si>
  <si>
    <t>Falluja</t>
  </si>
  <si>
    <t>Abu Sideera</t>
  </si>
  <si>
    <t>ابو سديرة</t>
  </si>
  <si>
    <t>Al Azrakiya</t>
  </si>
  <si>
    <t xml:space="preserve">الازركية </t>
  </si>
  <si>
    <t>Al Falahat village</t>
  </si>
  <si>
    <t xml:space="preserve">قرية الفلاحات </t>
  </si>
  <si>
    <t>Al Husi</t>
  </si>
  <si>
    <t>الحصي</t>
  </si>
  <si>
    <t>Al Jaghify Al Thaniya</t>
  </si>
  <si>
    <t>الجغيفي الثانية</t>
  </si>
  <si>
    <t>Al jdawil (qnatir)</t>
  </si>
  <si>
    <t>الجداول ( الكناطر )</t>
  </si>
  <si>
    <t>Al Mualmeen</t>
  </si>
  <si>
    <t xml:space="preserve">حي المعلمين </t>
  </si>
  <si>
    <t>Al Niemiya</t>
  </si>
  <si>
    <t xml:space="preserve">النعيمية </t>
  </si>
  <si>
    <t>Al Rumila</t>
  </si>
  <si>
    <t>الرميلة</t>
  </si>
  <si>
    <t>AL Shihaa</t>
  </si>
  <si>
    <t>الشيحة</t>
  </si>
  <si>
    <t>Al Shihabi 1</t>
  </si>
  <si>
    <t>الشهابي الاولى</t>
  </si>
  <si>
    <t>Al Shihabi 2</t>
  </si>
  <si>
    <t xml:space="preserve">الشهابي الثانية </t>
  </si>
  <si>
    <t>Al Shuhada 2</t>
  </si>
  <si>
    <t xml:space="preserve">الشهداء الثانية </t>
  </si>
  <si>
    <t>Al Shurta</t>
  </si>
  <si>
    <t>حي الشرطة</t>
  </si>
  <si>
    <t>Al Tala</t>
  </si>
  <si>
    <t xml:space="preserve">الطالعة </t>
  </si>
  <si>
    <t>Al Zaghareed</t>
  </si>
  <si>
    <t>الزغاريد</t>
  </si>
  <si>
    <t>Al ziwiyah village</t>
  </si>
  <si>
    <t xml:space="preserve">قرية الزوية </t>
  </si>
  <si>
    <t>Al-Akrad</t>
  </si>
  <si>
    <t>حي الاكراد</t>
  </si>
  <si>
    <t>Al-andalus</t>
  </si>
  <si>
    <t>حي الأندلس</t>
  </si>
  <si>
    <t>Al-bazara</t>
  </si>
  <si>
    <t>حي البزارة</t>
  </si>
  <si>
    <t>Al-Cettak</t>
  </si>
  <si>
    <t>السي تاك</t>
  </si>
  <si>
    <t>Al-Ekhaa Compaund</t>
  </si>
  <si>
    <t>مجمع الاخاء السكني</t>
  </si>
  <si>
    <t>Al-jamhuriya</t>
  </si>
  <si>
    <t>الجمهورية</t>
  </si>
  <si>
    <t>Al-Julan</t>
  </si>
  <si>
    <t>الجولان</t>
  </si>
  <si>
    <t>Al-Karagul</t>
  </si>
  <si>
    <t>الكراغول</t>
  </si>
  <si>
    <t>Al-muatasem</t>
  </si>
  <si>
    <t>حي المعتصم</t>
  </si>
  <si>
    <t>Al-waheda</t>
  </si>
  <si>
    <t>حي الوحدة</t>
  </si>
  <si>
    <t>Albu Akash</t>
  </si>
  <si>
    <t>البوعكاش</t>
  </si>
  <si>
    <t>Albu Alwan</t>
  </si>
  <si>
    <t>قرية البوعلوان</t>
  </si>
  <si>
    <t>Albu Eifan</t>
  </si>
  <si>
    <t>البوعيفان</t>
  </si>
  <si>
    <t>Albu Hadded village</t>
  </si>
  <si>
    <t xml:space="preserve">البوحديد الناصر </t>
  </si>
  <si>
    <t>Albu Hawa</t>
  </si>
  <si>
    <t xml:space="preserve">البوهوى </t>
  </si>
  <si>
    <t>Albu Jasim village</t>
  </si>
  <si>
    <t>البوجاسم-الكرمة</t>
  </si>
  <si>
    <t>Albu Khalifa</t>
  </si>
  <si>
    <t xml:space="preserve">البوخليفة </t>
  </si>
  <si>
    <t>Albu Khanfar</t>
  </si>
  <si>
    <t xml:space="preserve">البوخنفر </t>
  </si>
  <si>
    <t>Albu Shihab</t>
  </si>
  <si>
    <t>البوشهاب</t>
  </si>
  <si>
    <t>Albu Shijel</t>
  </si>
  <si>
    <t>البوشجل</t>
  </si>
  <si>
    <t>Albu Udah</t>
  </si>
  <si>
    <t>البوعودة</t>
  </si>
  <si>
    <t>Alhalabsah village</t>
  </si>
  <si>
    <t xml:space="preserve">قرية الحلابسة </t>
  </si>
  <si>
    <t>Door Al Sikik Area</t>
  </si>
  <si>
    <t>دور السكك</t>
  </si>
  <si>
    <t>Halabsa-Al karma</t>
  </si>
  <si>
    <t>الحلابسة الكرمة</t>
  </si>
  <si>
    <t>Hay Al Askari</t>
  </si>
  <si>
    <t>الحي العسكري</t>
  </si>
  <si>
    <t>Hay Al Dhubbat</t>
  </si>
  <si>
    <t>حي الضباط</t>
  </si>
  <si>
    <t>Hay Al Shuhadaa</t>
  </si>
  <si>
    <t>حي الشهداء</t>
  </si>
  <si>
    <t>Hay Al-Resala</t>
  </si>
  <si>
    <t>حي الرسالة</t>
  </si>
  <si>
    <t>Huwaiwa</t>
  </si>
  <si>
    <t xml:space="preserve">حويوة </t>
  </si>
  <si>
    <t>Karma-Al Somod</t>
  </si>
  <si>
    <t>الصمود</t>
  </si>
  <si>
    <t>Luhib</t>
  </si>
  <si>
    <t>اللهيب</t>
  </si>
  <si>
    <t>Muallimeen-2</t>
  </si>
  <si>
    <t xml:space="preserve">حي المعلمين الثانية </t>
  </si>
  <si>
    <t>Mujamma Al Therthar Al Sakani</t>
  </si>
  <si>
    <t>مجمع الثرثار السكني</t>
  </si>
  <si>
    <t>Nazal</t>
  </si>
  <si>
    <t>حي نزال</t>
  </si>
  <si>
    <t>subihat</t>
  </si>
  <si>
    <t xml:space="preserve">الصبيحات </t>
  </si>
  <si>
    <t>Haditha</t>
  </si>
  <si>
    <t>Al Khansaa</t>
  </si>
  <si>
    <t>حي الخنساء</t>
  </si>
  <si>
    <t>Al-Mutanabi</t>
  </si>
  <si>
    <t>المتنبي</t>
  </si>
  <si>
    <t>Albu Hayat village</t>
  </si>
  <si>
    <t>قرية البوحياة</t>
  </si>
  <si>
    <t>Bani Dahir</t>
  </si>
  <si>
    <t>حي بني داهر</t>
  </si>
  <si>
    <t>Haqlaniyah-Al shuhadaa</t>
  </si>
  <si>
    <t>حي الشهداء-الحقلانية</t>
  </si>
  <si>
    <t>Hay Al Askary</t>
  </si>
  <si>
    <t>حي العسكري</t>
  </si>
  <si>
    <t>Hay Al Haqlaniyah Qadim</t>
  </si>
  <si>
    <t>حي حقلانية القديمة</t>
  </si>
  <si>
    <t>Hay Al Rifay</t>
  </si>
  <si>
    <t>حي الرفاعي</t>
  </si>
  <si>
    <t>K3 complex</t>
  </si>
  <si>
    <t>مجمع ك 28 (( كي ثري ))</t>
  </si>
  <si>
    <t>Heet</t>
  </si>
  <si>
    <t>Abu Tibban</t>
  </si>
  <si>
    <t>ابوطيبان</t>
  </si>
  <si>
    <t>Al Baker</t>
  </si>
  <si>
    <t>حي البكر</t>
  </si>
  <si>
    <t>Al Hay Al Sakani</t>
  </si>
  <si>
    <t>الحي السكني</t>
  </si>
  <si>
    <t>Al Muhamdee</t>
  </si>
  <si>
    <t xml:space="preserve">المحمدي </t>
  </si>
  <si>
    <t>Al Qudus</t>
  </si>
  <si>
    <t>القدس</t>
  </si>
  <si>
    <t>Al Salkah</t>
  </si>
  <si>
    <t>السكلة</t>
  </si>
  <si>
    <t>Al Shuqaq</t>
  </si>
  <si>
    <t>الشقق</t>
  </si>
  <si>
    <t>Al-Mamora</t>
  </si>
  <si>
    <t>المعمورة</t>
  </si>
  <si>
    <t>Al-Mashhad</t>
  </si>
  <si>
    <t>المشهد</t>
  </si>
  <si>
    <t>Al-muabdiyat</t>
  </si>
  <si>
    <t>المعبديات</t>
  </si>
  <si>
    <t>Al-Qalqalah</t>
  </si>
  <si>
    <t xml:space="preserve">القلقة </t>
  </si>
  <si>
    <t>Al-Sikak</t>
  </si>
  <si>
    <t>السكك</t>
  </si>
  <si>
    <t>Basair</t>
  </si>
  <si>
    <t xml:space="preserve">البصائر </t>
  </si>
  <si>
    <t>Hay Al Etfaa</t>
  </si>
  <si>
    <t>حي الاطفاء</t>
  </si>
  <si>
    <t>Hay Al Farouq</t>
  </si>
  <si>
    <t>حي الفاروق</t>
  </si>
  <si>
    <t>Hay al Jury</t>
  </si>
  <si>
    <t>الجري</t>
  </si>
  <si>
    <t>Hay Al Mamoun</t>
  </si>
  <si>
    <t xml:space="preserve">حي المامون </t>
  </si>
  <si>
    <t>Hay Al-Askari</t>
  </si>
  <si>
    <t>Hay Al-Jabal</t>
  </si>
  <si>
    <t xml:space="preserve">الجبل </t>
  </si>
  <si>
    <t>Hay Al-jamyah 2</t>
  </si>
  <si>
    <t>الجمعية الثانية</t>
  </si>
  <si>
    <t>Hay Al-Khudhir</t>
  </si>
  <si>
    <t>الخضر</t>
  </si>
  <si>
    <t>Hay Al-Qadisiyah</t>
  </si>
  <si>
    <t>القادسية</t>
  </si>
  <si>
    <t>Hay Al-Sadiq</t>
  </si>
  <si>
    <t>حي الصديق</t>
  </si>
  <si>
    <t>Hay Al-Zuhoor</t>
  </si>
  <si>
    <t>حي الزهور</t>
  </si>
  <si>
    <t>Heet-Maskhan</t>
  </si>
  <si>
    <t>المصخن</t>
  </si>
  <si>
    <t>Kapisah-Hay Al-Sinay</t>
  </si>
  <si>
    <t>الحي الصناعي</t>
  </si>
  <si>
    <t>Kubaisa Al-qadimah</t>
  </si>
  <si>
    <t>كبيسة القديمة</t>
  </si>
  <si>
    <t>Mualmeen</t>
  </si>
  <si>
    <t>المعلمين</t>
  </si>
  <si>
    <t>Tal aswad</t>
  </si>
  <si>
    <t>تل اسود</t>
  </si>
  <si>
    <t>The first jamaiya</t>
  </si>
  <si>
    <t>الجمعية الاولى</t>
  </si>
  <si>
    <t>Zoyah Al-gharbiyah</t>
  </si>
  <si>
    <t>زوية الغربية</t>
  </si>
  <si>
    <t>Ramadi</t>
  </si>
  <si>
    <t>7 Kilo-Mujam Al Sakani</t>
  </si>
  <si>
    <t>السبعة كيلو-المجمع السكني</t>
  </si>
  <si>
    <t>Abu Flees</t>
  </si>
  <si>
    <t xml:space="preserve">ابو فليس </t>
  </si>
  <si>
    <t>Al Aadil</t>
  </si>
  <si>
    <t>العادل</t>
  </si>
  <si>
    <t>Al Andalus</t>
  </si>
  <si>
    <t>الاندلس</t>
  </si>
  <si>
    <t>Al Askari</t>
  </si>
  <si>
    <t>العسكري</t>
  </si>
  <si>
    <t>Al Azeziya</t>
  </si>
  <si>
    <t>العزيزية</t>
  </si>
  <si>
    <t>Al Dhubat 2</t>
  </si>
  <si>
    <t xml:space="preserve">الضباط الثانية </t>
  </si>
  <si>
    <t>Al Hamdiyah</t>
  </si>
  <si>
    <t>الحامضية</t>
  </si>
  <si>
    <t>Al Hooz</t>
  </si>
  <si>
    <t>الحوز</t>
  </si>
  <si>
    <t>Al Jamiyah</t>
  </si>
  <si>
    <t>الجمعية</t>
  </si>
  <si>
    <t>Al Katanah</t>
  </si>
  <si>
    <t>الكطانة</t>
  </si>
  <si>
    <t>Al Khulafaa</t>
  </si>
  <si>
    <t>الخلفاء</t>
  </si>
  <si>
    <t>Al Lajeen</t>
  </si>
  <si>
    <t>اللاجئين</t>
  </si>
  <si>
    <t>Al Qadissiya 2</t>
  </si>
  <si>
    <t>القادسية الثانية</t>
  </si>
  <si>
    <t>Al Sajariyah</t>
  </si>
  <si>
    <t>السجارية</t>
  </si>
  <si>
    <t>Al Shuhadaa Qtr</t>
  </si>
  <si>
    <t>الشهداء</t>
  </si>
  <si>
    <t>Al Shuqaq Al Bidh</t>
  </si>
  <si>
    <t>الشقق البيض</t>
  </si>
  <si>
    <t>Al Sofiyah</t>
  </si>
  <si>
    <t>الصوفية</t>
  </si>
  <si>
    <t>Al Soora</t>
  </si>
  <si>
    <t>السورة</t>
  </si>
  <si>
    <t>Al Uroba</t>
  </si>
  <si>
    <t>العروبة</t>
  </si>
  <si>
    <t>Al Ziraa</t>
  </si>
  <si>
    <t>الزراعة</t>
  </si>
  <si>
    <t>Al-Ankor</t>
  </si>
  <si>
    <t>العنكور</t>
  </si>
  <si>
    <t>Al-Jazerah</t>
  </si>
  <si>
    <t>الجزيرة</t>
  </si>
  <si>
    <t>Al-Jeraishi</t>
  </si>
  <si>
    <t>الجرايشي</t>
  </si>
  <si>
    <t>Al-Kully Kom Complex</t>
  </si>
  <si>
    <t xml:space="preserve">مجمع الكولي كم </t>
  </si>
  <si>
    <t>Al-Sadiqiyah</t>
  </si>
  <si>
    <t xml:space="preserve">الصديقية </t>
  </si>
  <si>
    <t>Al-Shareka</t>
  </si>
  <si>
    <t>الشركة</t>
  </si>
  <si>
    <t>Al-Shuhadaa</t>
  </si>
  <si>
    <t>Al-Thilah</t>
  </si>
  <si>
    <t>الثيلة</t>
  </si>
  <si>
    <t>البوعلوان</t>
  </si>
  <si>
    <t>Hay 30 Tamooz</t>
  </si>
  <si>
    <t>حي 30 تموز</t>
  </si>
  <si>
    <t>Hay 8 Shbbat</t>
  </si>
  <si>
    <t>حي 8 شباط</t>
  </si>
  <si>
    <t>Hay Al Akrad</t>
  </si>
  <si>
    <t>الاكراد</t>
  </si>
  <si>
    <t>Hay Al Dawajin</t>
  </si>
  <si>
    <t>حي الدواجن</t>
  </si>
  <si>
    <t>Hay Al Eskan</t>
  </si>
  <si>
    <t>الاسكان</t>
  </si>
  <si>
    <t>Hay Al Malab</t>
  </si>
  <si>
    <t>الملعب</t>
  </si>
  <si>
    <t>Hay Al Mulmeen</t>
  </si>
  <si>
    <t>Hay Al-Madani</t>
  </si>
  <si>
    <t xml:space="preserve">الحي المدني </t>
  </si>
  <si>
    <t>Hay Al-Salam</t>
  </si>
  <si>
    <t>السلام</t>
  </si>
  <si>
    <t>Husaibah Al-Sharqiah</t>
  </si>
  <si>
    <t xml:space="preserve">حصيبة الشرقية </t>
  </si>
  <si>
    <t>Jubiyah</t>
  </si>
  <si>
    <t>جويبة</t>
  </si>
  <si>
    <t>Kilo 5</t>
  </si>
  <si>
    <t>الخمسة كيلو</t>
  </si>
  <si>
    <t>Qadisiya-1</t>
  </si>
  <si>
    <t>القادسية الاولى</t>
  </si>
  <si>
    <t>Sin Al-Thubban</t>
  </si>
  <si>
    <t>سن الذبان</t>
  </si>
  <si>
    <t>The modern village</t>
  </si>
  <si>
    <t>القرية العصرية</t>
  </si>
  <si>
    <t>Warar</t>
  </si>
  <si>
    <t>الورار</t>
  </si>
  <si>
    <t>Zankura</t>
  </si>
  <si>
    <t>زنكورة</t>
  </si>
  <si>
    <t>Zwiyat Al Thiban</t>
  </si>
  <si>
    <t>زوية الذبان</t>
  </si>
  <si>
    <t>Abu Ghraib</t>
  </si>
  <si>
    <t xml:space="preserve">Adel Hrat village </t>
  </si>
  <si>
    <t>قرية عادل هراط</t>
  </si>
  <si>
    <t>Al Bu Maeed village</t>
  </si>
  <si>
    <t>قرية البو معيد</t>
  </si>
  <si>
    <t>Al Hamadan village</t>
  </si>
  <si>
    <t>الزيدان-قرية الحمدان</t>
  </si>
  <si>
    <t>Al Heetaween village</t>
  </si>
  <si>
    <t>قرية الهيتاوين</t>
  </si>
  <si>
    <t xml:space="preserve">Al Jamahoria village </t>
  </si>
  <si>
    <t>قرية الجمهورية</t>
  </si>
  <si>
    <t xml:space="preserve">Al Kwaitan village </t>
  </si>
  <si>
    <t>قرية الخويتان</t>
  </si>
  <si>
    <t xml:space="preserve">Al Mahasna village </t>
  </si>
  <si>
    <t xml:space="preserve">قرية المحاسنة </t>
  </si>
  <si>
    <t xml:space="preserve">Al Shanadka village </t>
  </si>
  <si>
    <t>الزيدان-قرية الشنادخة</t>
  </si>
  <si>
    <t>Al shaneter village</t>
  </si>
  <si>
    <t>الزيدان-قرية الشنيتر</t>
  </si>
  <si>
    <t>Al Zahalya village</t>
  </si>
  <si>
    <t>قرية الزحالية</t>
  </si>
  <si>
    <t>Al Zaidan-Al Sadan village</t>
  </si>
  <si>
    <t>الزيدان-قرية السعدان</t>
  </si>
  <si>
    <t>Doylebea village</t>
  </si>
  <si>
    <t>قرية دوليبة</t>
  </si>
  <si>
    <t xml:space="preserve">Maskor village </t>
  </si>
  <si>
    <t>الزيدان-قرية مشكور</t>
  </si>
  <si>
    <t>Yassen Al Mutlk village</t>
  </si>
  <si>
    <t>الزيدان-قرية ياسين المطلق</t>
  </si>
  <si>
    <t>Kadhimia</t>
  </si>
  <si>
    <t>Sabea Al Buor-11000</t>
  </si>
  <si>
    <t>سبع البور-11000</t>
  </si>
  <si>
    <t>Sabea Al Buor-12000</t>
  </si>
  <si>
    <t>سبع البور-12000</t>
  </si>
  <si>
    <t>Sabea Al Buor-13000</t>
  </si>
  <si>
    <t>سبع البور-13000</t>
  </si>
  <si>
    <t>Sabea Al Buor-14000</t>
  </si>
  <si>
    <t>سبع البور-14000</t>
  </si>
  <si>
    <t>Sabea Al Buor-3000</t>
  </si>
  <si>
    <t>سبع البور-3000</t>
  </si>
  <si>
    <t>Sabea Al Buor-4000</t>
  </si>
  <si>
    <t>سبع البور-4000</t>
  </si>
  <si>
    <t>Sabea Al Buor-5000</t>
  </si>
  <si>
    <t>سبع البور-5000</t>
  </si>
  <si>
    <t>Sabea Al Buor-7000</t>
  </si>
  <si>
    <t>سبع البور-7000</t>
  </si>
  <si>
    <t>Sabea Al Buor-8000</t>
  </si>
  <si>
    <t>سبع البور-8000</t>
  </si>
  <si>
    <t>Sabea Al Buor-9000</t>
  </si>
  <si>
    <t>سبع البور-9000</t>
  </si>
  <si>
    <t>Mahmoudiya</t>
  </si>
  <si>
    <t>Abu Lahya(Al kragolyia)</t>
  </si>
  <si>
    <t>البو عيسا(الكرغولية)</t>
  </si>
  <si>
    <t>Al Bu Hasson(Al kragolyia)</t>
  </si>
  <si>
    <t>البو حسون(الكرغولية)</t>
  </si>
  <si>
    <t xml:space="preserve">Al bu Khdear village </t>
  </si>
  <si>
    <t xml:space="preserve">قرية البو خضير </t>
  </si>
  <si>
    <t>Al Bu solta(Al kragolyia)</t>
  </si>
  <si>
    <t>البو سلطان(الكرغولية)</t>
  </si>
  <si>
    <t>Albo Awasj village</t>
  </si>
  <si>
    <t>قرية البو عوسج</t>
  </si>
  <si>
    <t>Arab Abu Lahiya village</t>
  </si>
  <si>
    <t>قرية عرب ابو لحية</t>
  </si>
  <si>
    <t xml:space="preserve">Arab Aefan village </t>
  </si>
  <si>
    <t>قرية عرب عيفان</t>
  </si>
  <si>
    <t xml:space="preserve">Arab jasam village </t>
  </si>
  <si>
    <t xml:space="preserve">قرية عرب جاسم </t>
  </si>
  <si>
    <t xml:space="preserve">Faheel Am Al Jaeer village </t>
  </si>
  <si>
    <t>قرية فحيل ام الجير</t>
  </si>
  <si>
    <t>Hay Al Dobat(Al kragolyia)</t>
  </si>
  <si>
    <t>حي الضباط(الكرغولية)</t>
  </si>
  <si>
    <t>Hay Al Shuhada(Al kragolyia)</t>
  </si>
  <si>
    <t>حي الشهداء(الكرغولية)</t>
  </si>
  <si>
    <t>killo-31</t>
  </si>
  <si>
    <t>كيلو-31</t>
  </si>
  <si>
    <t>Killo-32</t>
  </si>
  <si>
    <t>كيلو 32</t>
  </si>
  <si>
    <t>Mukata 16</t>
  </si>
  <si>
    <t>مقاطعة 16</t>
  </si>
  <si>
    <t>Shaka-1</t>
  </si>
  <si>
    <t>شاخة-1</t>
  </si>
  <si>
    <t>Shaka-2</t>
  </si>
  <si>
    <t>شاخة-2</t>
  </si>
  <si>
    <t>Shaka-3</t>
  </si>
  <si>
    <t>شاخة-3</t>
  </si>
  <si>
    <t>shaka-4</t>
  </si>
  <si>
    <t>شاخة-4</t>
  </si>
  <si>
    <t>shaka-5</t>
  </si>
  <si>
    <t>شاخة-5</t>
  </si>
  <si>
    <t xml:space="preserve">Shbesha Village </t>
  </si>
  <si>
    <t>قرية شبيشة(الكرغولية)</t>
  </si>
  <si>
    <t>Al-Khalis</t>
  </si>
  <si>
    <t>Al Aqssa Village</t>
  </si>
  <si>
    <t>قرية الاقصى</t>
  </si>
  <si>
    <t>Al Arabdah Village</t>
  </si>
  <si>
    <t>قرية العرابضة</t>
  </si>
  <si>
    <t>Al Askary Qtr</t>
  </si>
  <si>
    <t>Al Batat village</t>
  </si>
  <si>
    <t>قرية البطاط</t>
  </si>
  <si>
    <t>Al Bayat Village</t>
  </si>
  <si>
    <t>قرية البيات</t>
  </si>
  <si>
    <t>Al Darawish village</t>
  </si>
  <si>
    <t>قرية الدراويش</t>
  </si>
  <si>
    <t>Al Dwaleeb Village</t>
  </si>
  <si>
    <t>قرية الدواليب</t>
  </si>
  <si>
    <t>Al Hamel Vellage</t>
  </si>
  <si>
    <t>قرية الحمل</t>
  </si>
  <si>
    <t>Al Hataween village</t>
  </si>
  <si>
    <t>قرية الهتاوين</t>
  </si>
  <si>
    <t>Al Idhem Center</t>
  </si>
  <si>
    <t>مركز ناحية العظيم</t>
  </si>
  <si>
    <t>Al Jardaniya village</t>
  </si>
  <si>
    <t>قرية الجردانية</t>
  </si>
  <si>
    <t>Al Kholafa Village</t>
  </si>
  <si>
    <t>قرية الخلفاء</t>
  </si>
  <si>
    <t>Al Majara Village</t>
  </si>
  <si>
    <t>قرية المجرة</t>
  </si>
  <si>
    <t>Al Makareen Village</t>
  </si>
  <si>
    <t>قرية المكاريين</t>
  </si>
  <si>
    <t>Al Mansouriyah-Hamada Village</t>
  </si>
  <si>
    <t>المنصورية-قرية حماده</t>
  </si>
  <si>
    <t>Al Mansouriyah-Sherween</t>
  </si>
  <si>
    <t>المنصورية-شروين</t>
  </si>
  <si>
    <t>Al Marfoo Village</t>
  </si>
  <si>
    <t>قرية المرفوع</t>
  </si>
  <si>
    <t>Al Mashroo Village</t>
  </si>
  <si>
    <t>قرية المشروع</t>
  </si>
  <si>
    <t>Al Misht Al Ola-Albo Farhan Village</t>
  </si>
  <si>
    <t>قرية البو فرحان-المشط الاولى</t>
  </si>
  <si>
    <t>Al Misht Al thaniya-Albo Farhan Village</t>
  </si>
  <si>
    <t>قرية البو فرحان-المشط الثانية</t>
  </si>
  <si>
    <t>Al Qalaa Village</t>
  </si>
  <si>
    <t>قرية القلعة</t>
  </si>
  <si>
    <t>Al Romelat Village</t>
  </si>
  <si>
    <t>قرية الرميلات</t>
  </si>
  <si>
    <t>Al Sadah Village</t>
  </si>
  <si>
    <t>قرية السادة</t>
  </si>
  <si>
    <t>Al Safra al kebera village</t>
  </si>
  <si>
    <t>قرية الصفرة الكبيرة</t>
  </si>
  <si>
    <t>Al Safra al saghera village</t>
  </si>
  <si>
    <t>قرية الصفرة الصغيرة</t>
  </si>
  <si>
    <t>Al Salaam Village</t>
  </si>
  <si>
    <t>قرية السلام</t>
  </si>
  <si>
    <t>Al Shalahmaa Village</t>
  </si>
  <si>
    <t>قرية الشلاهمة</t>
  </si>
  <si>
    <t>Al Taleaa Al Olaa Village(Albo Rai)</t>
  </si>
  <si>
    <t>قرية الطالعة الاولى(البو ري)</t>
  </si>
  <si>
    <t>Al Taleaa Al Thanya Village</t>
  </si>
  <si>
    <t>قرية الطالعة الثانية</t>
  </si>
  <si>
    <t>Al Tholathi village</t>
  </si>
  <si>
    <t>قرية الثلاثي</t>
  </si>
  <si>
    <t>Al Wadahat Village</t>
  </si>
  <si>
    <t>قرية الوداحات</t>
  </si>
  <si>
    <t>Al Wehdaa Village(Albo Maree)</t>
  </si>
  <si>
    <t>قرية الوحدة(البو مرعي)</t>
  </si>
  <si>
    <t>Albo Awad Village(Albo Khaial)</t>
  </si>
  <si>
    <t>قرية البو عواد(البو خيال)</t>
  </si>
  <si>
    <t>Albo Ebada Village</t>
  </si>
  <si>
    <t>قرية البو عبادة</t>
  </si>
  <si>
    <t>Albo Elaywi village</t>
  </si>
  <si>
    <t>قرية البو عليوي</t>
  </si>
  <si>
    <t>Albo Hassoni village</t>
  </si>
  <si>
    <t>قرية البوحسوني</t>
  </si>
  <si>
    <t>Albo Hnayhen Village</t>
  </si>
  <si>
    <t>قرية البو حنيحن</t>
  </si>
  <si>
    <t>Albo mandil village</t>
  </si>
  <si>
    <t>قرية البومنديل</t>
  </si>
  <si>
    <t>Albo Mohammed Village</t>
  </si>
  <si>
    <t>قرية البو محمد</t>
  </si>
  <si>
    <t>Albo Nagem Village</t>
  </si>
  <si>
    <t>قرية البو نجم</t>
  </si>
  <si>
    <t>Albo Sabee Village</t>
  </si>
  <si>
    <t>قرية البو سبع</t>
  </si>
  <si>
    <t>Albo Sarah Village</t>
  </si>
  <si>
    <t>قرية البو سراح</t>
  </si>
  <si>
    <t>Albo Shmays village</t>
  </si>
  <si>
    <t>قرية قرية البو شميس</t>
  </si>
  <si>
    <t>Albo Shreh Village</t>
  </si>
  <si>
    <t>قرية البو شريح</t>
  </si>
  <si>
    <t>Albo Shyoh village</t>
  </si>
  <si>
    <t>قرية البوشيوح</t>
  </si>
  <si>
    <t>Albo Tarmish village</t>
  </si>
  <si>
    <t>قرية البو طرميش</t>
  </si>
  <si>
    <t>Ali Al Abdulla Village</t>
  </si>
  <si>
    <t>قرية علي العبد الله</t>
  </si>
  <si>
    <t>Alwan Al Hadid Village</t>
  </si>
  <si>
    <t>قرية علوان الحديد</t>
  </si>
  <si>
    <t>Arab Hafeedh Village</t>
  </si>
  <si>
    <t>قرية عرب حفيظ</t>
  </si>
  <si>
    <t>Arab Hamdan Village</t>
  </si>
  <si>
    <t>قرية عرب حمدان</t>
  </si>
  <si>
    <t>Arab Shendi Village</t>
  </si>
  <si>
    <t>قرية عرب شندي</t>
  </si>
  <si>
    <t>Arab yosef Village</t>
  </si>
  <si>
    <t>قرية عرب يوسف</t>
  </si>
  <si>
    <t>Bazaiz Al Mashroo Village</t>
  </si>
  <si>
    <t>قرية بزايز المشروع</t>
  </si>
  <si>
    <t>Bizayiz Sherwin Village</t>
  </si>
  <si>
    <t>قرية بزايز شروين</t>
  </si>
  <si>
    <t>Coksan village</t>
  </si>
  <si>
    <t>قرية كوكسان</t>
  </si>
  <si>
    <t>Dali Abbas-Al Qadim Qtr</t>
  </si>
  <si>
    <t>دلي عباس-الحي القديم</t>
  </si>
  <si>
    <t>Dalli Abass-Al Dhobat Qtr</t>
  </si>
  <si>
    <t>دلي عباس-حي الضباط</t>
  </si>
  <si>
    <t>Dalli Abass-Al Mualimen Qtr</t>
  </si>
  <si>
    <t>دلي عباس-حي المعلمين</t>
  </si>
  <si>
    <t>Dalli Abass-Al Rasheed Qtr</t>
  </si>
  <si>
    <t>دلي عباس-حي الرشيد</t>
  </si>
  <si>
    <t>Dalli Abass-Al Shekh Hassan Qtr</t>
  </si>
  <si>
    <t>دلي عباس-حي الشيخ حسن</t>
  </si>
  <si>
    <t>Dalli Abass-Kurd Ali Qtr</t>
  </si>
  <si>
    <t>دلي عباس-حي كرد علي</t>
  </si>
  <si>
    <t>Dawod Al Salom Village</t>
  </si>
  <si>
    <t>قرية داوود السلوم</t>
  </si>
  <si>
    <t>Dwaleeb Al Imam Village</t>
  </si>
  <si>
    <t>قرية دواليب الامام</t>
  </si>
  <si>
    <t>Ein Layla village</t>
  </si>
  <si>
    <t>قرية عين ليلى</t>
  </si>
  <si>
    <t>Habib Al Abdulla Village</t>
  </si>
  <si>
    <t>قرية حبيب العبدالله</t>
  </si>
  <si>
    <t>Habib Al Khaizaran Village</t>
  </si>
  <si>
    <t>قرية حبيب الخيزران</t>
  </si>
  <si>
    <t>Hamza Al Najim Village</t>
  </si>
  <si>
    <t>قرية حمزة النجم</t>
  </si>
  <si>
    <t>Hassan Al Habib village</t>
  </si>
  <si>
    <t>قرية حسن الحبيب</t>
  </si>
  <si>
    <t>Hassan Al Shamari village</t>
  </si>
  <si>
    <t>قرية حسن الشمري</t>
  </si>
  <si>
    <t>Hassan Dhayi village</t>
  </si>
  <si>
    <t>قرية حسن ضايع</t>
  </si>
  <si>
    <t>Jdhaif Village</t>
  </si>
  <si>
    <t>قرية جضيف</t>
  </si>
  <si>
    <t>Khan Al Qorsa Village</t>
  </si>
  <si>
    <t>قرية خان القرصة</t>
  </si>
  <si>
    <t>Khashim Zarzor Village</t>
  </si>
  <si>
    <t>قرية خشم زرزور</t>
  </si>
  <si>
    <t>Mansouriyat Al Gabal</t>
  </si>
  <si>
    <t>منصورية الجبل</t>
  </si>
  <si>
    <t>Mijbas village</t>
  </si>
  <si>
    <t>قرية مجباس</t>
  </si>
  <si>
    <t>Mohammed Ali Village</t>
  </si>
  <si>
    <t>قرية محمد العلي</t>
  </si>
  <si>
    <t>Mohammed Taha Village</t>
  </si>
  <si>
    <t>قرية محمد طه</t>
  </si>
  <si>
    <t>Najim Al Abdulla Village</t>
  </si>
  <si>
    <t>قرية نجم العبد الله</t>
  </si>
  <si>
    <t>Noori Al Noman village</t>
  </si>
  <si>
    <t>قرية نوري النومان</t>
  </si>
  <si>
    <t>Sfait village</t>
  </si>
  <si>
    <t>قرية قرية سفيط</t>
  </si>
  <si>
    <t>Shkej village</t>
  </si>
  <si>
    <t>قرية شكيج</t>
  </si>
  <si>
    <t>Shneef Village</t>
  </si>
  <si>
    <t>قرية شنيف</t>
  </si>
  <si>
    <t>Sohail Mahal village</t>
  </si>
  <si>
    <t>قرية سهيل محل</t>
  </si>
  <si>
    <t>Somair village</t>
  </si>
  <si>
    <t>قرية أسمير</t>
  </si>
  <si>
    <t>Um al Hawali village</t>
  </si>
  <si>
    <t>قرية ام الحوالي</t>
  </si>
  <si>
    <t>Um Al Karami village</t>
  </si>
  <si>
    <t>قرية ام الكرامي</t>
  </si>
  <si>
    <t>Al-Muqdadiya</t>
  </si>
  <si>
    <t>A Hammadi Village</t>
  </si>
  <si>
    <t>قرية الحمادي</t>
  </si>
  <si>
    <t>Abo Dihin</t>
  </si>
  <si>
    <t>ابو دهن</t>
  </si>
  <si>
    <t>Abu musa village</t>
  </si>
  <si>
    <t>قرية ابو موسى</t>
  </si>
  <si>
    <t>Al Aali Village</t>
  </si>
  <si>
    <t>قرية العالي</t>
  </si>
  <si>
    <t>Al Derwish Village</t>
  </si>
  <si>
    <t>قرية الدرويش</t>
  </si>
  <si>
    <t>Al Igaidat Village</t>
  </si>
  <si>
    <t>قرية العكيدات</t>
  </si>
  <si>
    <t>Al Isaiwed Village</t>
  </si>
  <si>
    <t>قرية الاسيود</t>
  </si>
  <si>
    <t>Al Jazera Al Ola Village</t>
  </si>
  <si>
    <t>قرية الجزيرة الاولى</t>
  </si>
  <si>
    <t>Al Jazera Al Thanya village</t>
  </si>
  <si>
    <t>قرية الجزيرة الثانية</t>
  </si>
  <si>
    <t>Al Karama Qtr</t>
  </si>
  <si>
    <t>حي الكرامة</t>
  </si>
  <si>
    <t>Al Lihayb Village</t>
  </si>
  <si>
    <t>قرية اللهيب</t>
  </si>
  <si>
    <t>Al Mahata Village</t>
  </si>
  <si>
    <t>قرية المحطة</t>
  </si>
  <si>
    <t>Al Mataar Qtr</t>
  </si>
  <si>
    <t>Al Mithaq Village</t>
  </si>
  <si>
    <t>قرية الميثاق</t>
  </si>
  <si>
    <t>Al Noor Qtr</t>
  </si>
  <si>
    <t>حي النور</t>
  </si>
  <si>
    <t>Al Oqood Village</t>
  </si>
  <si>
    <t>قرية العقود</t>
  </si>
  <si>
    <t>Al Sakhar Village</t>
  </si>
  <si>
    <t>قرية الصخر</t>
  </si>
  <si>
    <t>Al Shamamla Village</t>
  </si>
  <si>
    <t>قرية الشماملة</t>
  </si>
  <si>
    <t>Al Shekha Village</t>
  </si>
  <si>
    <t>قرية الشيخة</t>
  </si>
  <si>
    <t>Al Sodoor</t>
  </si>
  <si>
    <t>الصدور</t>
  </si>
  <si>
    <t>Al Somood Qtr</t>
  </si>
  <si>
    <t>حي الصمود</t>
  </si>
  <si>
    <t>Al Sooq Qtr</t>
  </si>
  <si>
    <t>حي السوق</t>
  </si>
  <si>
    <t>Al Tinaira Village</t>
  </si>
  <si>
    <t>قرية الطنيرة</t>
  </si>
  <si>
    <t>Al Uroba Qtr</t>
  </si>
  <si>
    <t>حي العروبة</t>
  </si>
  <si>
    <t>Al Wazan Village</t>
  </si>
  <si>
    <t>قرية الوزان</t>
  </si>
  <si>
    <t>Al-Arda village</t>
  </si>
  <si>
    <t>قرية العردة</t>
  </si>
  <si>
    <t>Al-Gawam Village</t>
  </si>
  <si>
    <t>قرية الكوام</t>
  </si>
  <si>
    <t>AlTaiha Qtr</t>
  </si>
  <si>
    <t>قرية التايهة</t>
  </si>
  <si>
    <t>Arab Dhaher Village</t>
  </si>
  <si>
    <t>قرية عرب ظاهر</t>
  </si>
  <si>
    <t>Bablaan Village</t>
  </si>
  <si>
    <t>قرية بابلان</t>
  </si>
  <si>
    <t>Baloor Village</t>
  </si>
  <si>
    <t>قرية بلور</t>
  </si>
  <si>
    <t>Haj fadhil village</t>
  </si>
  <si>
    <t>قرية حاج فاضل</t>
  </si>
  <si>
    <t>Hamada village</t>
  </si>
  <si>
    <t>قرية حمادة</t>
  </si>
  <si>
    <t>Hembes Village</t>
  </si>
  <si>
    <t>قرية حمبس</t>
  </si>
  <si>
    <t>Imam Abbas Village</t>
  </si>
  <si>
    <t>قرية امام عباس</t>
  </si>
  <si>
    <t>Imam Talib Village</t>
  </si>
  <si>
    <t>قرية امام طالب</t>
  </si>
  <si>
    <t>Izham village</t>
  </si>
  <si>
    <t>قرية زحام</t>
  </si>
  <si>
    <t>Jubtin village</t>
  </si>
  <si>
    <t>قرية جبتين</t>
  </si>
  <si>
    <t>Mahalat Door Al-Dhubbat</t>
  </si>
  <si>
    <t>محلة دور الضباط</t>
  </si>
  <si>
    <t>Nahr Al Shaykh Village</t>
  </si>
  <si>
    <t>قرية نهر الشيخ</t>
  </si>
  <si>
    <t>Nofal village</t>
  </si>
  <si>
    <t>قرية نوفل</t>
  </si>
  <si>
    <t>Parwana village</t>
  </si>
  <si>
    <t>قرية بروانة</t>
  </si>
  <si>
    <t>Shak Al Rak Village</t>
  </si>
  <si>
    <t>قرية شاق الراق</t>
  </si>
  <si>
    <t>Shamarkhi village</t>
  </si>
  <si>
    <t>قرية شمرخي</t>
  </si>
  <si>
    <t>Shok Al Reem village</t>
  </si>
  <si>
    <t>قرية شوك الريم</t>
  </si>
  <si>
    <t>Sinsil Al Wasat Village</t>
  </si>
  <si>
    <t>قرية سنسل الوسط</t>
  </si>
  <si>
    <t>Skheyr village</t>
  </si>
  <si>
    <t>قرية سخير</t>
  </si>
  <si>
    <t>Sodoor Al Ray</t>
  </si>
  <si>
    <t>صدور الري</t>
  </si>
  <si>
    <t>Walosh1 village</t>
  </si>
  <si>
    <t>قرية ولوش 1</t>
  </si>
  <si>
    <t>Walosh2 village</t>
  </si>
  <si>
    <t>قرية ولوش 2</t>
  </si>
  <si>
    <t>Khanaqin</t>
  </si>
  <si>
    <t>17Tamooz Qtr</t>
  </si>
  <si>
    <t>حي 17 تموز</t>
  </si>
  <si>
    <t>Al Asree Qtr</t>
  </si>
  <si>
    <t>الحي العصري</t>
  </si>
  <si>
    <t>Al Husaini Village</t>
  </si>
  <si>
    <t>قرية الحصيني</t>
  </si>
  <si>
    <t>Al Israa Qtr</t>
  </si>
  <si>
    <t>حي الاسراء</t>
  </si>
  <si>
    <t>Al Jamahir Qtr</t>
  </si>
  <si>
    <t>حي الجماهير</t>
  </si>
  <si>
    <t>Al Jamahir Qtr Sector 2</t>
  </si>
  <si>
    <t>حي الجماهير قطاع 2</t>
  </si>
  <si>
    <t>Al Jamahir Qtr Sector 3</t>
  </si>
  <si>
    <t>حي الجماهير قطاع 3</t>
  </si>
  <si>
    <t>Al Jamahir Qtr Sector 4</t>
  </si>
  <si>
    <t>حي الجماهير قطاع 4</t>
  </si>
  <si>
    <t>Al Jamahir Qtr Sector 5</t>
  </si>
  <si>
    <t>حي الجماهير قطاع 5</t>
  </si>
  <si>
    <t>Al Jamahir Qtr Sector 6</t>
  </si>
  <si>
    <t>حي الجماهير قطاع 6</t>
  </si>
  <si>
    <t>Al Nakheel Village</t>
  </si>
  <si>
    <t>قرية النخيل</t>
  </si>
  <si>
    <t>Al Oroba Qtr</t>
  </si>
  <si>
    <t>Al Oroba Qtr Sector 2</t>
  </si>
  <si>
    <t>حي العروبة قطاع 2</t>
  </si>
  <si>
    <t>Al Oroba Qtr Sector 3</t>
  </si>
  <si>
    <t>حي العروبة قطاع 3</t>
  </si>
  <si>
    <t>Al Rabe Al Olaa Qtr</t>
  </si>
  <si>
    <t>حي الربيع الاولى</t>
  </si>
  <si>
    <t>Al Rabe Al Thaletha Qtr</t>
  </si>
  <si>
    <t>حي الربيع الثالثة</t>
  </si>
  <si>
    <t>Al Rabe Al Thaniya Qtr</t>
  </si>
  <si>
    <t>حي الربيع الثانية</t>
  </si>
  <si>
    <t>Al Salaam Qtr</t>
  </si>
  <si>
    <t>حي السلام</t>
  </si>
  <si>
    <t>Al Shaheed Qtr(Al Zohor)</t>
  </si>
  <si>
    <t>حي الشهيد(الزهور)</t>
  </si>
  <si>
    <t>Al Shuhada Qtr</t>
  </si>
  <si>
    <t>Al Shuhada Qtr Sector 2</t>
  </si>
  <si>
    <t>حي الشهداء قطاع 2</t>
  </si>
  <si>
    <t>Al Shuhada Qtr Sector 3</t>
  </si>
  <si>
    <t>حي الشهداء قطاع 3</t>
  </si>
  <si>
    <t>Al Shuhada Qtr Sector 4</t>
  </si>
  <si>
    <t>حي الشهداء قطاع 4</t>
  </si>
  <si>
    <t>Al Shuhada Qtr Sector 5</t>
  </si>
  <si>
    <t>حي الشهداء قطاع 5</t>
  </si>
  <si>
    <t>Al Shuhada Qtr Sector 6</t>
  </si>
  <si>
    <t>حي الشهداء قطاع 6</t>
  </si>
  <si>
    <t>Al Taakhi Qtr</t>
  </si>
  <si>
    <t>حي التاخي</t>
  </si>
  <si>
    <t>Al Taleaa 2 Qtr</t>
  </si>
  <si>
    <t>حي الطليعة 2</t>
  </si>
  <si>
    <t>حي الطليعة 3</t>
  </si>
  <si>
    <t>حي الطليعة 4</t>
  </si>
  <si>
    <t>حي الطليعة 5</t>
  </si>
  <si>
    <t>Al Taleaa Qtr</t>
  </si>
  <si>
    <t>حي الطليعة</t>
  </si>
  <si>
    <t>Al Torath Village</t>
  </si>
  <si>
    <t>قرية التراث</t>
  </si>
  <si>
    <t>Al Wehdaa Qtr</t>
  </si>
  <si>
    <t>Al Wehdaa Qtr Sector 2</t>
  </si>
  <si>
    <t>حي الوحدة قطاع 2</t>
  </si>
  <si>
    <t>Al Wehdaa Qtr Sector 3</t>
  </si>
  <si>
    <t>حي الوحدة قطاع 3</t>
  </si>
  <si>
    <t>Al Wehdaa Qtr Sector 4</t>
  </si>
  <si>
    <t>حي الوحدة قطاع 4</t>
  </si>
  <si>
    <t>Al Wehdaa Qtr Sector 5</t>
  </si>
  <si>
    <t>حي الوحدة قطاع 5</t>
  </si>
  <si>
    <t>Al-Khadraa Qtr</t>
  </si>
  <si>
    <t>حي الخضراء</t>
  </si>
  <si>
    <t>Alkhadra Qtr</t>
  </si>
  <si>
    <t>Alkhadra Qtr Sector 2</t>
  </si>
  <si>
    <t>حي الخضراء قطاع 2</t>
  </si>
  <si>
    <t>Alkhadra Qtr Sector 3</t>
  </si>
  <si>
    <t>حي الخضراء قطاع 3</t>
  </si>
  <si>
    <t>Alkhadra Qtr Sector 4</t>
  </si>
  <si>
    <t>حي الخضراء قطاع 4</t>
  </si>
  <si>
    <t>Bani weas Village</t>
  </si>
  <si>
    <t>قرية بني ويس</t>
  </si>
  <si>
    <t>Murjana village</t>
  </si>
  <si>
    <t>قرية مرجانة</t>
  </si>
  <si>
    <t>Saad Qtr</t>
  </si>
  <si>
    <t xml:space="preserve">حي سعد </t>
  </si>
  <si>
    <t>Said Ahmed Village</t>
  </si>
  <si>
    <t>قرية سيد احمد</t>
  </si>
  <si>
    <t>Said Jabar Village</t>
  </si>
  <si>
    <t>قرية سيد جبار</t>
  </si>
  <si>
    <t>Wadi Aosaj Village</t>
  </si>
  <si>
    <t>قرية وادي عوسج</t>
  </si>
  <si>
    <t>Kifri</t>
  </si>
  <si>
    <t>Al Nitham village</t>
  </si>
  <si>
    <t>قرية النظام</t>
  </si>
  <si>
    <t>Makhmur</t>
  </si>
  <si>
    <t>Abu Sheta</t>
  </si>
  <si>
    <t>ابو شيته</t>
  </si>
  <si>
    <t>Bnari Qara chogh</t>
  </si>
  <si>
    <t>بناري قه ره جوغ</t>
  </si>
  <si>
    <t>Bndiyan</t>
  </si>
  <si>
    <t>بنديان</t>
  </si>
  <si>
    <t>Ein Marmiya</t>
  </si>
  <si>
    <t>عين مرمية</t>
  </si>
  <si>
    <t>Ein Muzan</t>
  </si>
  <si>
    <t>عين موزان</t>
  </si>
  <si>
    <t>Farmanbaran</t>
  </si>
  <si>
    <t>فرمانبران</t>
  </si>
  <si>
    <t>Godella</t>
  </si>
  <si>
    <t>كوديلة</t>
  </si>
  <si>
    <t>Kabarok</t>
  </si>
  <si>
    <t>كبروك</t>
  </si>
  <si>
    <t>Kapran</t>
  </si>
  <si>
    <t>كبران</t>
  </si>
  <si>
    <t>Khalideya</t>
  </si>
  <si>
    <t>خالدية</t>
  </si>
  <si>
    <t xml:space="preserve">Kurdistan </t>
  </si>
  <si>
    <t xml:space="preserve">كوردستان </t>
  </si>
  <si>
    <t>Mahana</t>
  </si>
  <si>
    <t>مهانة</t>
  </si>
  <si>
    <t>Markez Gwer</t>
  </si>
  <si>
    <t>مركز كوير</t>
  </si>
  <si>
    <t>Qalat</t>
  </si>
  <si>
    <t>قلات</t>
  </si>
  <si>
    <t>Saidawa</t>
  </si>
  <si>
    <t>سيداوة</t>
  </si>
  <si>
    <t>Salahya</t>
  </si>
  <si>
    <t>صلاحية</t>
  </si>
  <si>
    <t>Saray(markez bazar)</t>
  </si>
  <si>
    <t>سراي(مركز بازار)</t>
  </si>
  <si>
    <t>Shahidan</t>
  </si>
  <si>
    <t>شهيدان</t>
  </si>
  <si>
    <t>Sherwany</t>
  </si>
  <si>
    <t>شيرواني</t>
  </si>
  <si>
    <t>Daquq</t>
  </si>
  <si>
    <t>Bashir village</t>
  </si>
  <si>
    <t>قرية بشير</t>
  </si>
  <si>
    <t>Kobani village</t>
  </si>
  <si>
    <t>قرية كوباني</t>
  </si>
  <si>
    <t>Adris khazal</t>
  </si>
  <si>
    <t>ادريس خزعل</t>
  </si>
  <si>
    <t>Al Hendia</t>
  </si>
  <si>
    <t>قرية الهندية</t>
  </si>
  <si>
    <t>Idris khabbaz</t>
  </si>
  <si>
    <t>ادريس خباز</t>
  </si>
  <si>
    <t>Mala Abdullah village</t>
  </si>
  <si>
    <t xml:space="preserve">قرية ملا عبدالله </t>
  </si>
  <si>
    <t>Al-Hamdaniya</t>
  </si>
  <si>
    <t>Al-Adla Village</t>
  </si>
  <si>
    <t>قرية العدلة</t>
  </si>
  <si>
    <t>Al-ghadeer complex</t>
  </si>
  <si>
    <t>مجمع الغدير</t>
  </si>
  <si>
    <t>Al-Salamiyah Village</t>
  </si>
  <si>
    <t>قرية السلامية</t>
  </si>
  <si>
    <t>Al-Zahraa complex</t>
  </si>
  <si>
    <t>مجمع الزهراء</t>
  </si>
  <si>
    <t>Alak Village</t>
  </si>
  <si>
    <t>قرية الك</t>
  </si>
  <si>
    <t>Ali Rash Village</t>
  </si>
  <si>
    <t>قرية علي رش</t>
  </si>
  <si>
    <t>Bartalla center</t>
  </si>
  <si>
    <t>مركز ناحية برطله</t>
  </si>
  <si>
    <t>Bashbita Village</t>
  </si>
  <si>
    <t>قرية باشبيتا</t>
  </si>
  <si>
    <t>Ibrahim Alkhalil Village</t>
  </si>
  <si>
    <t>قرية ابراهيم الخليل</t>
  </si>
  <si>
    <t>Jlewkhan village</t>
  </si>
  <si>
    <t>قرية جليوخان</t>
  </si>
  <si>
    <t>Kezkan</t>
  </si>
  <si>
    <t>كزكان</t>
  </si>
  <si>
    <t>Kharabat sultan village</t>
  </si>
  <si>
    <t>قرية خرابة سلطان</t>
  </si>
  <si>
    <t>Khazna Tappa</t>
  </si>
  <si>
    <t>خزنة تبة</t>
  </si>
  <si>
    <t>khwetlah Village</t>
  </si>
  <si>
    <t>قرية خويتله</t>
  </si>
  <si>
    <t>Kubaiba village</t>
  </si>
  <si>
    <t>قرية كبيبة</t>
  </si>
  <si>
    <t>Majediay</t>
  </si>
  <si>
    <t>مجيدية</t>
  </si>
  <si>
    <t>Mnara Shabak Village</t>
  </si>
  <si>
    <t>قرية مناره الشبك</t>
  </si>
  <si>
    <t>Omar Kan Village</t>
  </si>
  <si>
    <t>قرية عمر كان</t>
  </si>
  <si>
    <t>Qaraqosh</t>
  </si>
  <si>
    <t>قره قوش</t>
  </si>
  <si>
    <t>Qarqashah Village</t>
  </si>
  <si>
    <t>قرية قرقشة</t>
  </si>
  <si>
    <t>Qretakh Village</t>
  </si>
  <si>
    <t>قرية قريتاغ</t>
  </si>
  <si>
    <t>Sayyid Hamad village</t>
  </si>
  <si>
    <t>قرية سيد حمد</t>
  </si>
  <si>
    <t>Shaquli village</t>
  </si>
  <si>
    <t>قرية شاقولي</t>
  </si>
  <si>
    <t>Shiek Ameer Village</t>
  </si>
  <si>
    <t xml:space="preserve">قرية شيخ امير </t>
  </si>
  <si>
    <t>Tahrawa Village</t>
  </si>
  <si>
    <t>قرية طهراوة</t>
  </si>
  <si>
    <t>Tal Al-Laban</t>
  </si>
  <si>
    <t>تل اللبن</t>
  </si>
  <si>
    <t>Tiba complex</t>
  </si>
  <si>
    <t>مجمع طيبه</t>
  </si>
  <si>
    <t>Wardak</t>
  </si>
  <si>
    <t>وردك</t>
  </si>
  <si>
    <t>Mosul</t>
  </si>
  <si>
    <t>Abo Jarboaa</t>
  </si>
  <si>
    <t>قرية ابو جربوعة</t>
  </si>
  <si>
    <t>Abyath Al-kafor Village</t>
  </si>
  <si>
    <t xml:space="preserve">قرية ابيض الكافور </t>
  </si>
  <si>
    <t>Al Baraka complex</t>
  </si>
  <si>
    <t>مجمع البركة</t>
  </si>
  <si>
    <t>Al Haj Ali</t>
  </si>
  <si>
    <t>الحاج علي</t>
  </si>
  <si>
    <t>AL Jawana</t>
  </si>
  <si>
    <t>قرية الجواعنة</t>
  </si>
  <si>
    <t>Al Samaqiyah</t>
  </si>
  <si>
    <t>السماقية</t>
  </si>
  <si>
    <t>Al-Alfaf complex</t>
  </si>
  <si>
    <t>مجمع الالفاف</t>
  </si>
  <si>
    <t>Al-Areej Village</t>
  </si>
  <si>
    <t>قرية العريج</t>
  </si>
  <si>
    <t>Al-Ausaja Village</t>
  </si>
  <si>
    <t>قرية العوسجة</t>
  </si>
  <si>
    <t>Al-Bareed</t>
  </si>
  <si>
    <t>البريد</t>
  </si>
  <si>
    <t>Al-Derbas Village</t>
  </si>
  <si>
    <t>قرية الدرباس</t>
  </si>
  <si>
    <t>Al-Hasya Village</t>
  </si>
  <si>
    <t>قرية الحصية</t>
  </si>
  <si>
    <t>Al-Hood Village</t>
  </si>
  <si>
    <t>قرية الحود</t>
  </si>
  <si>
    <t>AL-Jadah Village</t>
  </si>
  <si>
    <t>قرية الجدعة</t>
  </si>
  <si>
    <t>Al-Jamasah Village</t>
  </si>
  <si>
    <t>قرية الجماسة</t>
  </si>
  <si>
    <t>Al-Jmesa Village</t>
  </si>
  <si>
    <t>قرية الجمسة</t>
  </si>
  <si>
    <t>Al-Karama village</t>
  </si>
  <si>
    <t>قرية الكرامة</t>
  </si>
  <si>
    <t>Al-Karamah</t>
  </si>
  <si>
    <t>الكرامة</t>
  </si>
  <si>
    <t>Al-Kharrar Village</t>
  </si>
  <si>
    <t>قرية الخرار</t>
  </si>
  <si>
    <t>AL-Maghfera Village</t>
  </si>
  <si>
    <t>قرية المغفرة</t>
  </si>
  <si>
    <t>Al-Nawaran</t>
  </si>
  <si>
    <t>النوران</t>
  </si>
  <si>
    <t>Al-Qahira</t>
  </si>
  <si>
    <t>القاهرة</t>
  </si>
  <si>
    <t>Al-Qahira Village</t>
  </si>
  <si>
    <t>قرية القاهرة</t>
  </si>
  <si>
    <t>Al-Qayyarah Center</t>
  </si>
  <si>
    <t>مركز القيارة</t>
  </si>
  <si>
    <t>Al-Salahiya Village</t>
  </si>
  <si>
    <t>قرية الصلاحية</t>
  </si>
  <si>
    <t>Al-Tebat Village</t>
  </si>
  <si>
    <t>قرية الطيبات</t>
  </si>
  <si>
    <t>Al-zakrotiyah Village</t>
  </si>
  <si>
    <t>قرية الزكروطية</t>
  </si>
  <si>
    <t>Al-Zawya Village</t>
  </si>
  <si>
    <t>قرية الزاوية</t>
  </si>
  <si>
    <t>Albu jwari Village</t>
  </si>
  <si>
    <t>قرية البو جواري</t>
  </si>
  <si>
    <t>Arfela Village</t>
  </si>
  <si>
    <t>قرية رفيلة</t>
  </si>
  <si>
    <t xml:space="preserve">Aski Mosul Village </t>
  </si>
  <si>
    <t xml:space="preserve">قريه اسكي موصل </t>
  </si>
  <si>
    <t>Bahzani</t>
  </si>
  <si>
    <t xml:space="preserve">بحزاني </t>
  </si>
  <si>
    <t>Barema Village</t>
  </si>
  <si>
    <t>قرية باريمة</t>
  </si>
  <si>
    <t>Bashiqa center</t>
  </si>
  <si>
    <t>مركز بعشيقة</t>
  </si>
  <si>
    <t>Baybokht</t>
  </si>
  <si>
    <t>بايبوخت</t>
  </si>
  <si>
    <t>Bazwaya</t>
  </si>
  <si>
    <t>بازوايا</t>
  </si>
  <si>
    <t>Derig</t>
  </si>
  <si>
    <t>قرية ديرج</t>
  </si>
  <si>
    <t>Drawesh Village</t>
  </si>
  <si>
    <t>Hadhrat Al-Fadhil village</t>
  </si>
  <si>
    <t>قرية حضرة الفاضل</t>
  </si>
  <si>
    <t>Hamam Alaleel Center</t>
  </si>
  <si>
    <t>مركز حمام العليل</t>
  </si>
  <si>
    <t>Hay Al Arabi</t>
  </si>
  <si>
    <t>حي العربي</t>
  </si>
  <si>
    <t>Hay Al Samah</t>
  </si>
  <si>
    <t>حي السماح</t>
  </si>
  <si>
    <t>HAY-SUMMER</t>
  </si>
  <si>
    <t>حي سومر</t>
  </si>
  <si>
    <t>Janjy</t>
  </si>
  <si>
    <t>جنجي</t>
  </si>
  <si>
    <t>Kanona Village</t>
  </si>
  <si>
    <t>قرية كانونة</t>
  </si>
  <si>
    <t>Khorsibat Village</t>
  </si>
  <si>
    <t>قرية خورسيباط</t>
  </si>
  <si>
    <t>Khubatah Village</t>
  </si>
  <si>
    <t>قرية خباطة</t>
  </si>
  <si>
    <t>knetrah Village</t>
  </si>
  <si>
    <t>قرية كنيطرة</t>
  </si>
  <si>
    <t>Kokjali</t>
  </si>
  <si>
    <t>كوكجلي</t>
  </si>
  <si>
    <t>Lazakah Village</t>
  </si>
  <si>
    <t>قرية لزاكه</t>
  </si>
  <si>
    <t>Maghara</t>
  </si>
  <si>
    <t>مغارة</t>
  </si>
  <si>
    <t>Makkuk Village</t>
  </si>
  <si>
    <t>قرية مكوك</t>
  </si>
  <si>
    <t>Merki</t>
  </si>
  <si>
    <t>ميركي</t>
  </si>
  <si>
    <t>موصل</t>
  </si>
  <si>
    <t>Naanaah village</t>
  </si>
  <si>
    <t>قرية النعناعة</t>
  </si>
  <si>
    <t>Nabi Younis</t>
  </si>
  <si>
    <t>حي النبي يونس</t>
  </si>
  <si>
    <t>Omar Qabji</t>
  </si>
  <si>
    <t>قرية عمر قابجي</t>
  </si>
  <si>
    <t>Orta akrab Village</t>
  </si>
  <si>
    <t>قرية اورطه خراب</t>
  </si>
  <si>
    <t>Qabr Al-abid Village</t>
  </si>
  <si>
    <t>قرية قبر العبد</t>
  </si>
  <si>
    <t>Qabr bin Naif Village</t>
  </si>
  <si>
    <t>قرية قبر بن نايف</t>
  </si>
  <si>
    <t>Qara Tabba Village</t>
  </si>
  <si>
    <t>قرية قره تبة</t>
  </si>
  <si>
    <t>Saf al-tut Village</t>
  </si>
  <si>
    <t>قرية صف التوت</t>
  </si>
  <si>
    <t>Sayyid Hamed Village</t>
  </si>
  <si>
    <t>قرية سيد حامد</t>
  </si>
  <si>
    <t>Seewiya Village</t>
  </si>
  <si>
    <t>قرية الصعيوية</t>
  </si>
  <si>
    <t>Shura Center</t>
  </si>
  <si>
    <t>الشورى</t>
  </si>
  <si>
    <t>Shwerat Village</t>
  </si>
  <si>
    <t>قرية الشويرات</t>
  </si>
  <si>
    <t>Tal-Alshaeer Village</t>
  </si>
  <si>
    <t>قرية تل الشعير</t>
  </si>
  <si>
    <t>Teba-Village</t>
  </si>
  <si>
    <t>قرية طيبة</t>
  </si>
  <si>
    <t>Tes Kharab Kabeer Village</t>
  </si>
  <si>
    <t>قرية تيسخراب كبير</t>
  </si>
  <si>
    <t>Tes Kharab Sagher Village</t>
  </si>
  <si>
    <t>قرية تيسخراب صغير</t>
  </si>
  <si>
    <t>Tilyarah Village</t>
  </si>
  <si>
    <t>قرية تليارة</t>
  </si>
  <si>
    <t>Tlul Nasir Village</t>
  </si>
  <si>
    <t>قرية تلول ناصر</t>
  </si>
  <si>
    <t>Tobzawa Village</t>
  </si>
  <si>
    <t>قرية طوبزاوة</t>
  </si>
  <si>
    <t>Sinjar</t>
  </si>
  <si>
    <t>Adika</t>
  </si>
  <si>
    <t>اديكا</t>
  </si>
  <si>
    <t>Ashti &amp; Heriko</t>
  </si>
  <si>
    <t>اشتي و هريكو</t>
  </si>
  <si>
    <t xml:space="preserve">Bakera </t>
  </si>
  <si>
    <t>بكرا</t>
  </si>
  <si>
    <t>Balif</t>
  </si>
  <si>
    <t>بليف</t>
  </si>
  <si>
    <t>Balistan</t>
  </si>
  <si>
    <t>بلستان</t>
  </si>
  <si>
    <t>Barah</t>
  </si>
  <si>
    <t>باره</t>
  </si>
  <si>
    <t>Bayevok</t>
  </si>
  <si>
    <t>بايفوك</t>
  </si>
  <si>
    <t>Bir Adam</t>
  </si>
  <si>
    <t>بير ادم</t>
  </si>
  <si>
    <t>Borak</t>
  </si>
  <si>
    <t xml:space="preserve">بورك </t>
  </si>
  <si>
    <t>Cheyl mira</t>
  </si>
  <si>
    <t>جيل ميرا</t>
  </si>
  <si>
    <t>Darki Qawala</t>
  </si>
  <si>
    <t>داركي قوالا</t>
  </si>
  <si>
    <t xml:space="preserve">Dohola </t>
  </si>
  <si>
    <t xml:space="preserve">دهولا </t>
  </si>
  <si>
    <t>Dokri</t>
  </si>
  <si>
    <t>دوكري</t>
  </si>
  <si>
    <t>Gormez</t>
  </si>
  <si>
    <t>كرمز</t>
  </si>
  <si>
    <t>Gry Gawry</t>
  </si>
  <si>
    <t>كري كوري</t>
  </si>
  <si>
    <t>Guhbal and shorka</t>
  </si>
  <si>
    <t>كهبل +شوركا  </t>
  </si>
  <si>
    <t>Haliqye</t>
  </si>
  <si>
    <t>حليقي</t>
  </si>
  <si>
    <t>Hay Al Naser</t>
  </si>
  <si>
    <t>حي النصر</t>
  </si>
  <si>
    <t>Hay Azadi</t>
  </si>
  <si>
    <t>حي ازادي</t>
  </si>
  <si>
    <t>Hay barbaroj</t>
  </si>
  <si>
    <t>حي بربروش</t>
  </si>
  <si>
    <t>Hay Yarmok</t>
  </si>
  <si>
    <t>حي يرموك</t>
  </si>
  <si>
    <t xml:space="preserve">Karsi </t>
  </si>
  <si>
    <t>كرسي</t>
  </si>
  <si>
    <t>Khana sor</t>
  </si>
  <si>
    <t>خانصور</t>
  </si>
  <si>
    <t>Kolka</t>
  </si>
  <si>
    <t>كولكا</t>
  </si>
  <si>
    <t>Melik</t>
  </si>
  <si>
    <t>ملك</t>
  </si>
  <si>
    <t>Nakhsye</t>
  </si>
  <si>
    <t>نخسي</t>
  </si>
  <si>
    <t>Osiva</t>
  </si>
  <si>
    <t>اوسفا</t>
  </si>
  <si>
    <t>Qandil</t>
  </si>
  <si>
    <t>قنديل</t>
  </si>
  <si>
    <t>Quwasi</t>
  </si>
  <si>
    <t>قويسي</t>
  </si>
  <si>
    <t>Rozh Halat</t>
  </si>
  <si>
    <t>حي روز هلات</t>
  </si>
  <si>
    <t>Sardashty</t>
  </si>
  <si>
    <t>سردشتي</t>
  </si>
  <si>
    <t>Semi-Hester</t>
  </si>
  <si>
    <t>سمي هيستر</t>
  </si>
  <si>
    <t>Sharaf Alddin</t>
  </si>
  <si>
    <t>شرف الدين</t>
  </si>
  <si>
    <t>Shyebl Qasim</t>
  </si>
  <si>
    <t>شيبل قاسم</t>
  </si>
  <si>
    <t>Sinuni center</t>
  </si>
  <si>
    <t>مركز سنوني</t>
  </si>
  <si>
    <t>Solagh</t>
  </si>
  <si>
    <t>صولاغ</t>
  </si>
  <si>
    <t>Tiraf</t>
  </si>
  <si>
    <t>طيرف</t>
  </si>
  <si>
    <t>Wary Bahdo</t>
  </si>
  <si>
    <t>واري بهدو</t>
  </si>
  <si>
    <t>Zorava and zirwa</t>
  </si>
  <si>
    <t xml:space="preserve">زورافا+زيروا </t>
  </si>
  <si>
    <t>Telafar</t>
  </si>
  <si>
    <t>Abtakh</t>
  </si>
  <si>
    <t>ابتاخ</t>
  </si>
  <si>
    <t>Abu Hajira vilage</t>
  </si>
  <si>
    <t>قرية ابو حجيرة</t>
  </si>
  <si>
    <t>abu khushub</t>
  </si>
  <si>
    <t>قرية أبو خشب</t>
  </si>
  <si>
    <t>Ain aawes</t>
  </si>
  <si>
    <t>عين عويس</t>
  </si>
  <si>
    <t>Ain Hilwa Upper</t>
  </si>
  <si>
    <t>قرية عين حلوة العليا</t>
  </si>
  <si>
    <t>Al Mafri</t>
  </si>
  <si>
    <t>قرية مفري</t>
  </si>
  <si>
    <t>Albawtha vilage</t>
  </si>
  <si>
    <t>قرية البوثة</t>
  </si>
  <si>
    <t>Bardiyah complex</t>
  </si>
  <si>
    <t>مجمع برديه</t>
  </si>
  <si>
    <t>Beer ekla vilage</t>
  </si>
  <si>
    <t>قرية بئر عكلة</t>
  </si>
  <si>
    <t>Domez complex</t>
  </si>
  <si>
    <t>مجمع دوميز</t>
  </si>
  <si>
    <t>Ein Alhilwa</t>
  </si>
  <si>
    <t>قرية عين الحلوة</t>
  </si>
  <si>
    <t>Ein Gahesheya Village</t>
  </si>
  <si>
    <t>قرية عين جحيشية</t>
  </si>
  <si>
    <t>Ewaynat vilage</t>
  </si>
  <si>
    <t>قرية عوينات</t>
  </si>
  <si>
    <t>Fakerok</t>
  </si>
  <si>
    <t>قرية فقيروك</t>
  </si>
  <si>
    <t>Gilbarat</t>
  </si>
  <si>
    <t>قرية جلبارات</t>
  </si>
  <si>
    <t>Gul Mohamed village</t>
  </si>
  <si>
    <t>قرية كول محمد</t>
  </si>
  <si>
    <t>Hamd Agha Village</t>
  </si>
  <si>
    <t>حمد اغا</t>
  </si>
  <si>
    <t>Hay Al Arbaeen</t>
  </si>
  <si>
    <t>حي الاربعين</t>
  </si>
  <si>
    <t>Hay Al laban</t>
  </si>
  <si>
    <t>حي اللبن</t>
  </si>
  <si>
    <t>Hay Al Muthana</t>
  </si>
  <si>
    <t>حي المثنى</t>
  </si>
  <si>
    <t>Hay Al Qadisya</t>
  </si>
  <si>
    <t>حي القادسية</t>
  </si>
  <si>
    <t>Hay Al Salam</t>
  </si>
  <si>
    <t>Hay Al Sikak</t>
  </si>
  <si>
    <t>حي السكك</t>
  </si>
  <si>
    <t>Hay Al Uroba</t>
  </si>
  <si>
    <t>Hay Al-Mualemen</t>
  </si>
  <si>
    <t>حي المعلمين</t>
  </si>
  <si>
    <t>Hay Al-Noor</t>
  </si>
  <si>
    <t>Hay Alasreya</t>
  </si>
  <si>
    <t>حي العصرية</t>
  </si>
  <si>
    <t>Hay althahabe</t>
  </si>
  <si>
    <t>الحي الذهبي</t>
  </si>
  <si>
    <t>Hdeimh</t>
  </si>
  <si>
    <t>قرية هضمية</t>
  </si>
  <si>
    <t>Hokna</t>
  </si>
  <si>
    <t>قرية حكنه</t>
  </si>
  <si>
    <t>jadida</t>
  </si>
  <si>
    <t>قرية جديده</t>
  </si>
  <si>
    <t>Jukhri Village</t>
  </si>
  <si>
    <t>جخري</t>
  </si>
  <si>
    <t>Jussa</t>
  </si>
  <si>
    <t>قرية جصة</t>
  </si>
  <si>
    <t>Kahreez</t>
  </si>
  <si>
    <t>كهريز</t>
  </si>
  <si>
    <t>Karash village 1</t>
  </si>
  <si>
    <t>قرية كرش 1</t>
  </si>
  <si>
    <t>Karash village 2</t>
  </si>
  <si>
    <t>قرية كرش 2</t>
  </si>
  <si>
    <t>Karash village 3</t>
  </si>
  <si>
    <t>قرية كرش 3</t>
  </si>
  <si>
    <t>Karbir</t>
  </si>
  <si>
    <t>كربير</t>
  </si>
  <si>
    <t>Karsur vilage</t>
  </si>
  <si>
    <t>قرية كرصور</t>
  </si>
  <si>
    <t>Khan safih</t>
  </si>
  <si>
    <t>خان صفية</t>
  </si>
  <si>
    <t>kirver village</t>
  </si>
  <si>
    <t>قرية كرفر</t>
  </si>
  <si>
    <t>Mashraf</t>
  </si>
  <si>
    <t>مشرف</t>
  </si>
  <si>
    <t>Msherfa Village</t>
  </si>
  <si>
    <t>قرية مشيرفة</t>
  </si>
  <si>
    <t>Omar khaild Village</t>
  </si>
  <si>
    <t>عمر خالد</t>
  </si>
  <si>
    <t>Qaryat Tal Maraq Al Sufla</t>
  </si>
  <si>
    <t>قرية تل مرك سفلى</t>
  </si>
  <si>
    <t>Qaryat Tal Maraq Ulya</t>
  </si>
  <si>
    <t>قرية تل مرك عليا</t>
  </si>
  <si>
    <t>Qasabat Zummar</t>
  </si>
  <si>
    <t>قصبة زمار</t>
  </si>
  <si>
    <t>Qasr Sarij</t>
  </si>
  <si>
    <t>قرية قسرصريج</t>
  </si>
  <si>
    <t>Sahel Hamad Village</t>
  </si>
  <si>
    <t>ساحل حمد</t>
  </si>
  <si>
    <t>Sahilah Village</t>
  </si>
  <si>
    <t>سحيله</t>
  </si>
  <si>
    <t>Salihiat alrawia vilage</t>
  </si>
  <si>
    <t>قرية صالحية الراوية</t>
  </si>
  <si>
    <t>Tal aldhdhahab</t>
  </si>
  <si>
    <t>تل الذهب</t>
  </si>
  <si>
    <t>Tal alhuaa</t>
  </si>
  <si>
    <t>تل الهوى</t>
  </si>
  <si>
    <t>Tal Hial vilage</t>
  </si>
  <si>
    <t>قرية تل حيال</t>
  </si>
  <si>
    <t>Tal Ismair</t>
  </si>
  <si>
    <t>قرية تل أسمير</t>
  </si>
  <si>
    <t>Tal Mus</t>
  </si>
  <si>
    <t>قرية تل موس</t>
  </si>
  <si>
    <t>Tal Talab vilage</t>
  </si>
  <si>
    <t>قرية تل طلب</t>
  </si>
  <si>
    <t>Tal wardan vilage</t>
  </si>
  <si>
    <t>قرية تل وردان</t>
  </si>
  <si>
    <t>Tel shor</t>
  </si>
  <si>
    <t>قرية تل الشور</t>
  </si>
  <si>
    <t>Wadi shour</t>
  </si>
  <si>
    <t>قرية وادي شور</t>
  </si>
  <si>
    <t>Tilkaif</t>
  </si>
  <si>
    <t>Al Qawsiyat</t>
  </si>
  <si>
    <t>القوسيات</t>
  </si>
  <si>
    <t>Baawiza</t>
  </si>
  <si>
    <t>بعويزة</t>
  </si>
  <si>
    <t xml:space="preserve">Babnet Village </t>
  </si>
  <si>
    <t>قرية بابنيت</t>
  </si>
  <si>
    <t>Badria</t>
  </si>
  <si>
    <t>بدرية</t>
  </si>
  <si>
    <t>Baqofa</t>
  </si>
  <si>
    <t>باقوفا</t>
  </si>
  <si>
    <t>chaqlow Village</t>
  </si>
  <si>
    <t>قرية جقلو</t>
  </si>
  <si>
    <t>Derston</t>
  </si>
  <si>
    <t xml:space="preserve">دير ستون </t>
  </si>
  <si>
    <t>Manara</t>
  </si>
  <si>
    <t>منارة</t>
  </si>
  <si>
    <t>Mosul Dam</t>
  </si>
  <si>
    <t xml:space="preserve">مشروع سد الموصل </t>
  </si>
  <si>
    <t>Sada Area</t>
  </si>
  <si>
    <t>منطقة السادة</t>
  </si>
  <si>
    <t>Shwedij Village</t>
  </si>
  <si>
    <t>قرية شويدج</t>
  </si>
  <si>
    <t>Tal Adas</t>
  </si>
  <si>
    <t>تل عدس</t>
  </si>
  <si>
    <t>Tallsquf</t>
  </si>
  <si>
    <t>تللسقف</t>
  </si>
  <si>
    <t>Tilkaif Center</t>
  </si>
  <si>
    <t>مركز تلكيف</t>
  </si>
  <si>
    <t>wanna center</t>
  </si>
  <si>
    <t>مركز وانة</t>
  </si>
  <si>
    <t>Al-Daur</t>
  </si>
  <si>
    <t>Al Asriyah village</t>
  </si>
  <si>
    <t>Al Mujammaa Al Sakani</t>
  </si>
  <si>
    <t>المجمع السكني</t>
  </si>
  <si>
    <t>Al-Khadhra area</t>
  </si>
  <si>
    <t>الدور حي الخضراء</t>
  </si>
  <si>
    <t>Hay Abu Dalaf</t>
  </si>
  <si>
    <t>حي ابو دلف</t>
  </si>
  <si>
    <t>Hay Al Aboor</t>
  </si>
  <si>
    <t>حي العبور</t>
  </si>
  <si>
    <t>Hay Al Askri</t>
  </si>
  <si>
    <t>Hay Al Mahad</t>
  </si>
  <si>
    <t>حي المعهد</t>
  </si>
  <si>
    <t>Hay Al Qadisiah</t>
  </si>
  <si>
    <t>Hay Al Sharqiyah</t>
  </si>
  <si>
    <t>حي الشرقية</t>
  </si>
  <si>
    <t>Hay Alsharqiah-Mahalla 112</t>
  </si>
  <si>
    <t>حي الشرقية محلة 112</t>
  </si>
  <si>
    <t>Hay Mohammad Aldorri-Mhalla 107</t>
  </si>
  <si>
    <t>محمد الدري محلة 107</t>
  </si>
  <si>
    <t>Hay Tal Al Banat</t>
  </si>
  <si>
    <t>حي تل البنات</t>
  </si>
  <si>
    <t>Al-Fares</t>
  </si>
  <si>
    <t>Albofadous village</t>
  </si>
  <si>
    <t>قرية البوفدعوس</t>
  </si>
  <si>
    <t>Bizna Village</t>
  </si>
  <si>
    <t>قرية بزنة</t>
  </si>
  <si>
    <t>Al-Shirqat</t>
  </si>
  <si>
    <t>Al Fajir village(Al Tasni)</t>
  </si>
  <si>
    <t>قرية الفجر</t>
  </si>
  <si>
    <t>Al Jumiala village</t>
  </si>
  <si>
    <t>حي الجميلة</t>
  </si>
  <si>
    <t>Al Khadraniyah</t>
  </si>
  <si>
    <t>قرية الخضرانية</t>
  </si>
  <si>
    <t>Al Khanuga village</t>
  </si>
  <si>
    <t>قرية الخانوكة</t>
  </si>
  <si>
    <t>Al Khasim Al-Jaded village-Al qlisat</t>
  </si>
  <si>
    <t>قرية الخصم الجديدة(القليصات)</t>
  </si>
  <si>
    <t>Al-Ayitha Village</t>
  </si>
  <si>
    <t>قريةالعيثة(جرناف شرقي)</t>
  </si>
  <si>
    <t>Al-Horya Al-Qadema village</t>
  </si>
  <si>
    <t>قرية الحورية القديمة</t>
  </si>
  <si>
    <t>Al-Jafr Al-Har village</t>
  </si>
  <si>
    <t>قرية الجفر الحار</t>
  </si>
  <si>
    <t>Al-Khasim Al-Qadem village</t>
  </si>
  <si>
    <t>قرية الخصم القديمة</t>
  </si>
  <si>
    <t>Al-Musehly Village</t>
  </si>
  <si>
    <t>قرية المسيحلي</t>
  </si>
  <si>
    <t>Al-Qalaa Village</t>
  </si>
  <si>
    <t>Al-Qudus</t>
  </si>
  <si>
    <t>Al-Swedan Village</t>
  </si>
  <si>
    <t>قرية سويدان</t>
  </si>
  <si>
    <t>Hawi Baaja Hawi</t>
  </si>
  <si>
    <t>حاوي بعاجه حاوي-حضر</t>
  </si>
  <si>
    <t>Hay Al Qasbah</t>
  </si>
  <si>
    <t>حي القصبة</t>
  </si>
  <si>
    <t>Hay Al-Baladyat</t>
  </si>
  <si>
    <t>حي البلديات</t>
  </si>
  <si>
    <t>Hay Al-noor</t>
  </si>
  <si>
    <t>Hay Tal Baajah</t>
  </si>
  <si>
    <t>حي تل بعاجة</t>
  </si>
  <si>
    <t>Huriyah al jazerah-Al-Aboud</t>
  </si>
  <si>
    <t>قرية العبود</t>
  </si>
  <si>
    <t>Qaryat Al Sabkha</t>
  </si>
  <si>
    <t>قرية الصبخة</t>
  </si>
  <si>
    <t>Tal Al Jumiala area</t>
  </si>
  <si>
    <t xml:space="preserve">تل بعاجة 1 وتل اجميلة </t>
  </si>
  <si>
    <t>Baiji</t>
  </si>
  <si>
    <t>Al Bije Wa Hawijat Al Bije</t>
  </si>
  <si>
    <t>البعيجي وحويجة البعيجي</t>
  </si>
  <si>
    <t>Al Hamra village</t>
  </si>
  <si>
    <t>قرية الحمرة</t>
  </si>
  <si>
    <t>Al Hejaj Village-13</t>
  </si>
  <si>
    <t>قرية الحجاج</t>
  </si>
  <si>
    <t>Al Mazraa Village</t>
  </si>
  <si>
    <t>قرية المزرعة</t>
  </si>
  <si>
    <t>Albu-Tumah village-12</t>
  </si>
  <si>
    <t>قرية البوطعمه</t>
  </si>
  <si>
    <t>Markaz Baiji</t>
  </si>
  <si>
    <t>مركز بيجي</t>
  </si>
  <si>
    <t>Qaryat Al Sareen</t>
  </si>
  <si>
    <t>قرية الصرين</t>
  </si>
  <si>
    <t>Balad</t>
  </si>
  <si>
    <t>Al-Duloeyah-Hay Al Jubor</t>
  </si>
  <si>
    <t>محلة الجبور الاولى</t>
  </si>
  <si>
    <t>Al-Duloeyah-Hay khazraj</t>
  </si>
  <si>
    <t>محلة خزرج</t>
  </si>
  <si>
    <t>Al-Haweeja Al bahriya</t>
  </si>
  <si>
    <t>قرية الجبور والحويجة ا</t>
  </si>
  <si>
    <t>Al_Farhateya village</t>
  </si>
  <si>
    <t>قرية الفرحاتية</t>
  </si>
  <si>
    <t>Albu Jewari</t>
  </si>
  <si>
    <t>محلة البو جواري</t>
  </si>
  <si>
    <t>Beshakan village</t>
  </si>
  <si>
    <t>قرية بيشكان</t>
  </si>
  <si>
    <t xml:space="preserve">Yathrib sub distrct </t>
  </si>
  <si>
    <t>ناحية يثرب</t>
  </si>
  <si>
    <t>Samarra</t>
  </si>
  <si>
    <t>Al Sayoya-Mahala 1</t>
  </si>
  <si>
    <t>محلة الصعيوية م(16)محلة الصعيوية-1</t>
  </si>
  <si>
    <t>Al-Abasiya Village</t>
  </si>
  <si>
    <t>قرية العباسية</t>
  </si>
  <si>
    <t>Al-Hewaish area</t>
  </si>
  <si>
    <t>قرية الحويش</t>
  </si>
  <si>
    <t>Al-Jillam area</t>
  </si>
  <si>
    <t>منطقة الجلام</t>
  </si>
  <si>
    <t>Al-Tresha-Albu Fahed</t>
  </si>
  <si>
    <t>البو فهد</t>
  </si>
  <si>
    <t>Al-Tresha-Albu Shatb</t>
  </si>
  <si>
    <t>قرية البو شطب</t>
  </si>
  <si>
    <t>Al_Jazera</t>
  </si>
  <si>
    <t>الجزيرة(الجزءالجنوبي)سكن متناثر</t>
  </si>
  <si>
    <t>Hawi Albsat</t>
  </si>
  <si>
    <t>مقاطعة 27 حاوى البساط</t>
  </si>
  <si>
    <t>Mahalla Makeshfa</t>
  </si>
  <si>
    <t>محلة مكيشفه</t>
  </si>
  <si>
    <t>Tikrit</t>
  </si>
  <si>
    <t>(Al Qadissiya)-218-500</t>
  </si>
  <si>
    <t>حي المطاردة(قادسية2)مقاطعة 7 محله 218 – قطعه 500</t>
  </si>
  <si>
    <t>Al Ahad Al Jadid village</t>
  </si>
  <si>
    <t>قرية العهد الجديد</t>
  </si>
  <si>
    <t>Al Bzikhah Village</t>
  </si>
  <si>
    <t>قرية البزيخة</t>
  </si>
  <si>
    <t>Al Haweja village-AlAbady</t>
  </si>
  <si>
    <t>قرية الحويجة-العبادي</t>
  </si>
  <si>
    <t>Al khuzamiya Village</t>
  </si>
  <si>
    <t>قرية الخزامية</t>
  </si>
  <si>
    <t>Al Mahzam village</t>
  </si>
  <si>
    <t>قرية المحزم</t>
  </si>
  <si>
    <t>Al Namah Al Junubiya 49</t>
  </si>
  <si>
    <t>الناعمة الجنوبية قرية الناعمة الجنوبية</t>
  </si>
  <si>
    <t>Al Namah Al Shamaliyah Village</t>
  </si>
  <si>
    <t>الناعمة الشمالية قرية الناعمة الشمالية</t>
  </si>
  <si>
    <t>Al Shaheed Abdulla village</t>
  </si>
  <si>
    <t>قرية الشهيد عبدالله جباره</t>
  </si>
  <si>
    <t>Al Zallayah village</t>
  </si>
  <si>
    <t>قرية الزلاية</t>
  </si>
  <si>
    <t>Al-Dibsa Village</t>
  </si>
  <si>
    <t>قرية الدبسة</t>
  </si>
  <si>
    <t>Al-Karama Village</t>
  </si>
  <si>
    <t>Al-Khanag village</t>
  </si>
  <si>
    <t>قرية الخنك</t>
  </si>
  <si>
    <t>Al-Muskarat</t>
  </si>
  <si>
    <t>منطقة المعسكرات</t>
  </si>
  <si>
    <t>Al-Mutaradah 204</t>
  </si>
  <si>
    <t>حي الشهداء مقاطعة 7-المطاردة محلة 204</t>
  </si>
  <si>
    <t>Al-Safia Village</t>
  </si>
  <si>
    <t>قرية الصافية</t>
  </si>
  <si>
    <t>Al-Shahama Village</t>
  </si>
  <si>
    <t>قرية الشهامة</t>
  </si>
  <si>
    <t>Aldleimat Village</t>
  </si>
  <si>
    <t>قرية الدليمات</t>
  </si>
  <si>
    <t>Awajealah Quarter</t>
  </si>
  <si>
    <t>حي عويجيلية-م(27-الخرجة والعالي)</t>
  </si>
  <si>
    <t>Hammad Shehab village</t>
  </si>
  <si>
    <t>قرية حماد شهاب</t>
  </si>
  <si>
    <t>Hay Al Anwaa-Mahalla 420</t>
  </si>
  <si>
    <t>حي الانواء-محله 420</t>
  </si>
  <si>
    <t>Hay Al Arbaeen-Mahalla 414</t>
  </si>
  <si>
    <t>حي الاربعين-محله 414</t>
  </si>
  <si>
    <t>Hay Al Askari village</t>
  </si>
  <si>
    <t>Hay Al Asry Al Jadid-404</t>
  </si>
  <si>
    <t>حي العصري-مقاطعة7-المطاردة محلة 404</t>
  </si>
  <si>
    <t>Hay Al baladiyah</t>
  </si>
  <si>
    <t>حي البلدية-م(27-الخرجة والعالي)</t>
  </si>
  <si>
    <t>Hay Al Baladiyat-Mahalla 402</t>
  </si>
  <si>
    <t>البلدديات-402</t>
  </si>
  <si>
    <t>Hay Al Jamiyah</t>
  </si>
  <si>
    <t>حي الجمعية-2</t>
  </si>
  <si>
    <t>Hay Al Jamiyah-Mahalla 418</t>
  </si>
  <si>
    <t>حي الجمعية-محله 418</t>
  </si>
  <si>
    <t>Hay Al Mualimeen-Mahalla 406</t>
  </si>
  <si>
    <t>حي المعلمين-محله 406</t>
  </si>
  <si>
    <t>Hay Al sinay-Al samad</t>
  </si>
  <si>
    <t>قرية الصمد</t>
  </si>
  <si>
    <t>Hay Al Zuhoor-Mahalla 422</t>
  </si>
  <si>
    <t>حي الزهور-محله 422</t>
  </si>
  <si>
    <t>Hay Al-Quthat</t>
  </si>
  <si>
    <t>حي القضاة</t>
  </si>
  <si>
    <t>Hay Al-Sikak</t>
  </si>
  <si>
    <t>Hay Al-Suqoore</t>
  </si>
  <si>
    <t>حي الصقور</t>
  </si>
  <si>
    <t>Hay Al-Wihda</t>
  </si>
  <si>
    <t>Hay Aldiyoom</t>
  </si>
  <si>
    <t>حي الديوم-مقاطعة 21-ديوم تكريت</t>
  </si>
  <si>
    <t>Hay Alfirdous</t>
  </si>
  <si>
    <t>حي الفردوس(البو عبيد)مقاطعة-5 محلة 428</t>
  </si>
  <si>
    <t>Hay Alkahrbaa</t>
  </si>
  <si>
    <t>حي الكهرباء</t>
  </si>
  <si>
    <t>Hay Alqalaa</t>
  </si>
  <si>
    <t>حي القلعة(6-تكريت)محلة 405</t>
  </si>
  <si>
    <t>Hay Altajneed</t>
  </si>
  <si>
    <t>حي التجنيد</t>
  </si>
  <si>
    <t>Hay Alziraa</t>
  </si>
  <si>
    <t>حي الزراعة</t>
  </si>
  <si>
    <t>Hay Alziraa-100 Dar</t>
  </si>
  <si>
    <t>منطقة 100 دار</t>
  </si>
  <si>
    <t>Hay Salma Al Taghlubiyah-Mahalla 401</t>
  </si>
  <si>
    <t>حي سلمى التغلبيه-محله 401</t>
  </si>
  <si>
    <t>Hay Shishin-408</t>
  </si>
  <si>
    <t>حي شيشين-مقاطعة 5-وادي شيشين محلة 408</t>
  </si>
  <si>
    <t>Mahalla Al Aed</t>
  </si>
  <si>
    <t>حي العائد(27-الخرجة والعالي)محلة العائد</t>
  </si>
  <si>
    <t>Mahalla Al muwadafeen</t>
  </si>
  <si>
    <t>حي الموظفين(27الخرجة والعالي)محلة الموظفين</t>
  </si>
  <si>
    <t>Qaryat Erbaidha</t>
  </si>
  <si>
    <t>قرية أربيضة</t>
  </si>
  <si>
    <t>Qdisiyah1-Mahalla 214</t>
  </si>
  <si>
    <t>حي المطاردة(قادسية1)مقاطعة 7-محله 214</t>
  </si>
  <si>
    <t>Qdisiyah2-Mahalla 216</t>
  </si>
  <si>
    <t>حي المطاردة(قادسية2)مقاطعة 7-محله 216</t>
  </si>
  <si>
    <t>Sadayrat Abo Ajeel</t>
  </si>
  <si>
    <t>صديرة ابو عجيل</t>
  </si>
  <si>
    <t>Samrah Village</t>
  </si>
  <si>
    <t>قرية سمرة</t>
  </si>
  <si>
    <t>Tal-Al Sibaat Village</t>
  </si>
  <si>
    <t>قرية تل السيباط</t>
  </si>
  <si>
    <t>Uwainat</t>
  </si>
  <si>
    <t>عوينات</t>
  </si>
  <si>
    <t>Tooz</t>
  </si>
  <si>
    <t>Brawchili village</t>
  </si>
  <si>
    <t>قرية براوجيلي</t>
  </si>
  <si>
    <t>Chardaghli village</t>
  </si>
  <si>
    <t>قرية جرداغلي</t>
  </si>
  <si>
    <t>Hay Al-Ahrar-Al-Makrama</t>
  </si>
  <si>
    <t>حي الاحرار-المكرمة</t>
  </si>
  <si>
    <t>Hay Al-Askareen</t>
  </si>
  <si>
    <t>حي العسكريين</t>
  </si>
  <si>
    <t>Hay Al-Askary</t>
  </si>
  <si>
    <t>Hay Al-Nasr</t>
  </si>
  <si>
    <t>Hay Al-Shohadaa</t>
  </si>
  <si>
    <t>Hay Al-Teen</t>
  </si>
  <si>
    <t>حي التين</t>
  </si>
  <si>
    <t>Hay Sabaa Tamoz</t>
  </si>
  <si>
    <t>حي سبعة تموز</t>
  </si>
  <si>
    <t>Hay Wahid Huzayran</t>
  </si>
  <si>
    <t>حي واحد حزيران</t>
  </si>
  <si>
    <t>Qara Naz village</t>
  </si>
  <si>
    <t>قرية قرناز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</si>
</sst>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409]#,###"/>
    <numFmt numFmtId="165" formatCode="[$-10409]#,##0.00%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8"/>
      <color rgb="FF4682B4"/>
      <name val="Arial Narrow"/>
      <family val="2"/>
    </font>
    <font>
      <b/>
      <sz val="10"/>
      <color rgb="FF000000"/>
      <name val="Arial Narrow"/>
      <family val="2"/>
    </font>
    <font>
      <b/>
      <sz val="10"/>
      <color rgb="FFFFFFFF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 Narrow"/>
      <family val="2"/>
    </font>
    <font>
      <u/>
      <sz val="10"/>
      <color rgb="FF0070C0"/>
      <name val="Arial Narrow"/>
      <family val="2"/>
    </font>
    <font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800000"/>
        <bgColor rgb="FF800000"/>
      </patternFill>
    </fill>
    <fill>
      <patternFill patternType="solid">
        <fgColor rgb="FF92D050"/>
        <bgColor rgb="FF800000"/>
      </patternFill>
    </fill>
    <fill>
      <patternFill patternType="solid">
        <fgColor rgb="FF000080"/>
        <bgColor rgb="FF000080"/>
      </patternFill>
    </fill>
  </fills>
  <borders count="18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/>
      <top style="thin">
        <color rgb="FFD3D3D3"/>
      </top>
      <bottom/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3">
    <xf numFmtId="0" fontId="1" fillId="0" borderId="0" xfId="0" applyFont="1" applyFill="1" applyBorder="1"/>
    <xf numFmtId="0" fontId="5" fillId="0" borderId="1" xfId="0" applyNumberFormat="1" applyFont="1" applyFill="1" applyBorder="1" applyAlignment="1">
      <alignment vertical="top" wrapText="1" readingOrder="1"/>
    </xf>
    <xf numFmtId="164" fontId="5" fillId="0" borderId="1" xfId="0" applyNumberFormat="1" applyFont="1" applyFill="1" applyBorder="1" applyAlignment="1">
      <alignment vertical="top" wrapText="1" readingOrder="1"/>
    </xf>
    <xf numFmtId="165" fontId="5" fillId="0" borderId="1" xfId="0" applyNumberFormat="1" applyFont="1" applyFill="1" applyBorder="1" applyAlignment="1">
      <alignment vertical="top" wrapText="1" readingOrder="1"/>
    </xf>
    <xf numFmtId="0" fontId="3" fillId="0" borderId="3" xfId="0" applyNumberFormat="1" applyFont="1" applyFill="1" applyBorder="1" applyAlignment="1">
      <alignment vertical="top" wrapText="1" readingOrder="1"/>
    </xf>
    <xf numFmtId="164" fontId="3" fillId="0" borderId="3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164" fontId="3" fillId="0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5" fillId="0" borderId="1" xfId="0" applyNumberFormat="1" applyFont="1" applyFill="1" applyBorder="1" applyAlignment="1">
      <alignment horizontal="center" vertical="top" readingOrder="1"/>
    </xf>
    <xf numFmtId="0" fontId="5" fillId="0" borderId="1" xfId="0" applyNumberFormat="1" applyFont="1" applyFill="1" applyBorder="1" applyAlignment="1">
      <alignment vertical="top" readingOrder="1"/>
    </xf>
    <xf numFmtId="164" fontId="5" fillId="0" borderId="1" xfId="0" applyNumberFormat="1" applyFont="1" applyFill="1" applyBorder="1" applyAlignment="1">
      <alignment vertical="top" readingOrder="1"/>
    </xf>
    <xf numFmtId="0" fontId="1" fillId="0" borderId="0" xfId="0" applyFont="1" applyFill="1" applyBorder="1"/>
    <xf numFmtId="164" fontId="1" fillId="0" borderId="0" xfId="0" applyNumberFormat="1" applyFont="1" applyFill="1" applyBorder="1"/>
    <xf numFmtId="164" fontId="7" fillId="0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5" fillId="0" borderId="1" xfId="0" applyNumberFormat="1" applyFont="1" applyFill="1" applyBorder="1" applyAlignment="1">
      <alignment vertical="top" wrapText="1" readingOrder="1"/>
    </xf>
    <xf numFmtId="9" fontId="7" fillId="0" borderId="1" xfId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164" fontId="8" fillId="0" borderId="1" xfId="0" applyNumberFormat="1" applyFont="1" applyFill="1" applyBorder="1" applyAlignment="1">
      <alignment horizontal="center" vertical="top" wrapText="1" readingOrder="1"/>
    </xf>
    <xf numFmtId="0" fontId="2" fillId="0" borderId="0" xfId="0" applyNumberFormat="1" applyFont="1" applyFill="1" applyBorder="1" applyAlignment="1">
      <alignment vertical="top" readingOrder="1"/>
    </xf>
    <xf numFmtId="0" fontId="1" fillId="0" borderId="0" xfId="0" applyFont="1" applyFill="1" applyBorder="1" applyAlignment="1"/>
    <xf numFmtId="0" fontId="4" fillId="5" borderId="1" xfId="0" applyNumberFormat="1" applyFont="1" applyFill="1" applyBorder="1" applyAlignment="1">
      <alignment horizontal="center" vertical="top" wrapText="1" readingOrder="1"/>
    </xf>
    <xf numFmtId="0" fontId="4" fillId="5" borderId="4" xfId="0" applyNumberFormat="1" applyFont="1" applyFill="1" applyBorder="1" applyAlignment="1">
      <alignment horizontal="center" vertical="top" wrapText="1" readingOrder="1"/>
    </xf>
    <xf numFmtId="0" fontId="4" fillId="5" borderId="3" xfId="0" applyNumberFormat="1" applyFont="1" applyFill="1" applyBorder="1" applyAlignment="1">
      <alignment horizontal="center" vertical="top" wrapText="1" readingOrder="1"/>
    </xf>
    <xf numFmtId="0" fontId="4" fillId="5" borderId="8" xfId="0" applyNumberFormat="1" applyFont="1" applyFill="1" applyBorder="1" applyAlignment="1">
      <alignment horizontal="center" vertical="top" wrapText="1" readingOrder="1"/>
    </xf>
    <xf numFmtId="0" fontId="4" fillId="5" borderId="6" xfId="0" applyNumberFormat="1" applyFont="1" applyFill="1" applyBorder="1" applyAlignment="1">
      <alignment horizontal="center" vertical="top" wrapText="1" readingOrder="1"/>
    </xf>
    <xf numFmtId="164" fontId="5" fillId="0" borderId="3" xfId="0" applyNumberFormat="1" applyFont="1" applyFill="1" applyBorder="1" applyAlignment="1">
      <alignment vertical="top" wrapText="1" readingOrder="1"/>
    </xf>
    <xf numFmtId="0" fontId="4" fillId="5" borderId="10" xfId="0" applyNumberFormat="1" applyFont="1" applyFill="1" applyBorder="1" applyAlignment="1">
      <alignment horizontal="center" vertical="top" wrapText="1" readingOrder="1"/>
    </xf>
    <xf numFmtId="165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horizontal="center" vertical="top" readingOrder="1"/>
    </xf>
    <xf numFmtId="0" fontId="5" fillId="0" borderId="3" xfId="0" applyNumberFormat="1" applyFont="1" applyFill="1" applyBorder="1" applyAlignment="1">
      <alignment vertical="top" readingOrder="1"/>
    </xf>
    <xf numFmtId="164" fontId="5" fillId="0" borderId="3" xfId="0" applyNumberFormat="1" applyFont="1" applyFill="1" applyBorder="1" applyAlignment="1">
      <alignment vertical="top" readingOrder="1"/>
    </xf>
    <xf numFmtId="0" fontId="4" fillId="5" borderId="11" xfId="0" applyNumberFormat="1" applyFont="1" applyFill="1" applyBorder="1" applyAlignment="1">
      <alignment vertical="center" readingOrder="1"/>
    </xf>
    <xf numFmtId="0" fontId="4" fillId="5" borderId="12" xfId="0" applyNumberFormat="1" applyFont="1" applyFill="1" applyBorder="1" applyAlignment="1">
      <alignment horizontal="center" vertical="center" readingOrder="1"/>
    </xf>
    <xf numFmtId="0" fontId="4" fillId="2" borderId="10" xfId="0" applyNumberFormat="1" applyFont="1" applyFill="1" applyBorder="1" applyAlignment="1">
      <alignment horizontal="center" vertical="center" wrapText="1" readingOrder="1"/>
    </xf>
    <xf numFmtId="0" fontId="4" fillId="3" borderId="10" xfId="0" applyNumberFormat="1" applyFont="1" applyFill="1" applyBorder="1" applyAlignment="1">
      <alignment horizontal="center" vertical="center" wrapText="1" readingOrder="1"/>
    </xf>
    <xf numFmtId="164" fontId="8" fillId="0" borderId="3" xfId="0" applyNumberFormat="1" applyFont="1" applyFill="1" applyBorder="1" applyAlignment="1">
      <alignment horizontal="center" vertical="top" wrapText="1" readingOrder="1"/>
    </xf>
    <xf numFmtId="0" fontId="4" fillId="4" borderId="10" xfId="0" applyNumberFormat="1" applyFont="1" applyFill="1" applyBorder="1" applyAlignment="1">
      <alignment horizontal="center" vertical="top" wrapText="1" readingOrder="1"/>
    </xf>
    <xf numFmtId="0" fontId="5" fillId="0" borderId="1" xfId="0" applyNumberFormat="1" applyFont="1" applyFill="1" applyBorder="1" applyAlignment="1">
      <alignment vertical="top" wrapText="1" readingOrder="1"/>
    </xf>
    <xf numFmtId="0" fontId="4" fillId="3" borderId="10" xfId="0" applyNumberFormat="1" applyFont="1" applyFill="1" applyBorder="1" applyAlignment="1">
      <alignment horizontal="center" vertical="center" wrapText="1" readingOrder="1"/>
    </xf>
    <xf numFmtId="0" fontId="4" fillId="5" borderId="10" xfId="0" applyNumberFormat="1" applyFont="1" applyFill="1" applyBorder="1" applyAlignment="1">
      <alignment horizontal="center" vertical="top" wrapText="1" readingOrder="1"/>
    </xf>
    <xf numFmtId="0" fontId="4" fillId="5" borderId="10" xfId="0" applyNumberFormat="1" applyFont="1" applyFill="1" applyBorder="1" applyAlignment="1">
      <alignment horizontal="center" vertical="top" wrapText="1" readingOrder="1"/>
    </xf>
    <xf numFmtId="0" fontId="4" fillId="3" borderId="15" xfId="0" applyNumberFormat="1" applyFont="1" applyFill="1" applyBorder="1" applyAlignment="1">
      <alignment horizontal="center" vertical="center" wrapText="1" readingOrder="1"/>
    </xf>
    <xf numFmtId="0" fontId="5" fillId="0" borderId="16" xfId="0" applyNumberFormat="1" applyFont="1" applyFill="1" applyBorder="1" applyAlignment="1">
      <alignment horizontal="left" vertical="top" wrapText="1" readingOrder="1"/>
    </xf>
    <xf numFmtId="0" fontId="5" fillId="0" borderId="2" xfId="0" applyNumberFormat="1" applyFont="1" applyFill="1" applyBorder="1" applyAlignment="1">
      <alignment horizontal="left" vertical="top" wrapText="1" readingOrder="1"/>
    </xf>
    <xf numFmtId="0" fontId="4" fillId="5" borderId="10" xfId="0" applyNumberFormat="1" applyFont="1" applyFill="1" applyBorder="1" applyAlignment="1">
      <alignment horizontal="center" vertical="top" wrapText="1" readingOrder="1"/>
    </xf>
    <xf numFmtId="0" fontId="9" fillId="0" borderId="17" xfId="0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 vertical="top" wrapText="1" readingOrder="1"/>
    </xf>
    <xf numFmtId="164" fontId="5" fillId="0" borderId="0" xfId="0" applyNumberFormat="1" applyFont="1" applyFill="1" applyBorder="1" applyAlignment="1">
      <alignment vertical="top" wrapText="1" readingOrder="1"/>
    </xf>
    <xf numFmtId="164" fontId="3" fillId="0" borderId="0" xfId="0" applyNumberFormat="1" applyFont="1" applyFill="1" applyBorder="1" applyAlignment="1">
      <alignment vertical="top" wrapText="1" readingOrder="1"/>
    </xf>
    <xf numFmtId="0" fontId="4" fillId="5" borderId="10" xfId="0" applyNumberFormat="1" applyFont="1" applyFill="1" applyBorder="1" applyAlignment="1">
      <alignment horizontal="center" vertical="top" wrapText="1" readingOrder="1"/>
    </xf>
    <xf numFmtId="0" fontId="2" fillId="0" borderId="0" xfId="0" applyNumberFormat="1" applyFont="1" applyFill="1" applyBorder="1" applyAlignment="1">
      <alignment horizontal="left" vertical="top" wrapText="1" readingOrder="1"/>
    </xf>
    <xf numFmtId="0" fontId="4" fillId="2" borderId="10" xfId="0" applyNumberFormat="1" applyFont="1" applyFill="1" applyBorder="1" applyAlignment="1">
      <alignment horizontal="center" vertical="center" wrapText="1" readingOrder="1"/>
    </xf>
    <xf numFmtId="0" fontId="1" fillId="0" borderId="10" xfId="0" applyNumberFormat="1" applyFont="1" applyFill="1" applyBorder="1" applyAlignment="1">
      <alignment vertical="top" wrapText="1"/>
    </xf>
    <xf numFmtId="0" fontId="4" fillId="5" borderId="10" xfId="0" applyNumberFormat="1" applyFont="1" applyFill="1" applyBorder="1" applyAlignment="1">
      <alignment horizontal="center" vertical="top" wrapText="1" readingOrder="1"/>
    </xf>
    <xf numFmtId="0" fontId="4" fillId="4" borderId="10" xfId="0" applyNumberFormat="1" applyFont="1" applyFill="1" applyBorder="1" applyAlignment="1">
      <alignment horizontal="center" vertical="center" wrapText="1" readingOrder="1"/>
    </xf>
    <xf numFmtId="0" fontId="4" fillId="3" borderId="13" xfId="0" applyNumberFormat="1" applyFont="1" applyFill="1" applyBorder="1" applyAlignment="1">
      <alignment horizontal="center" vertical="center" wrapText="1" readingOrder="1"/>
    </xf>
    <xf numFmtId="0" fontId="4" fillId="3" borderId="14" xfId="0" applyNumberFormat="1" applyFont="1" applyFill="1" applyBorder="1" applyAlignment="1">
      <alignment horizontal="center" vertical="center" wrapText="1" readingOrder="1"/>
    </xf>
    <xf numFmtId="0" fontId="4" fillId="3" borderId="15" xfId="0" applyNumberFormat="1" applyFont="1" applyFill="1" applyBorder="1" applyAlignment="1">
      <alignment horizontal="center" vertical="center" wrapText="1" readingOrder="1"/>
    </xf>
    <xf numFmtId="0" fontId="4" fillId="5" borderId="13" xfId="0" applyNumberFormat="1" applyFont="1" applyFill="1" applyBorder="1" applyAlignment="1">
      <alignment horizontal="center" vertical="top" wrapText="1" readingOrder="1"/>
    </xf>
    <xf numFmtId="0" fontId="4" fillId="5" borderId="14" xfId="0" applyNumberFormat="1" applyFont="1" applyFill="1" applyBorder="1" applyAlignment="1">
      <alignment horizontal="center" vertical="top" wrapText="1" readingOrder="1"/>
    </xf>
    <xf numFmtId="0" fontId="4" fillId="5" borderId="15" xfId="0" applyNumberFormat="1" applyFont="1" applyFill="1" applyBorder="1" applyAlignment="1">
      <alignment horizontal="center" vertical="top" wrapText="1" readingOrder="1"/>
    </xf>
    <xf numFmtId="0" fontId="5" fillId="0" borderId="1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4" fillId="5" borderId="8" xfId="0" applyNumberFormat="1" applyFont="1" applyFill="1" applyBorder="1" applyAlignment="1">
      <alignment horizontal="center" vertical="top" wrapText="1" readingOrder="1"/>
    </xf>
    <xf numFmtId="0" fontId="4" fillId="5" borderId="5" xfId="0" applyNumberFormat="1" applyFont="1" applyFill="1" applyBorder="1" applyAlignment="1">
      <alignment horizontal="center" vertical="top" wrapText="1" readingOrder="1"/>
    </xf>
    <xf numFmtId="0" fontId="4" fillId="5" borderId="9" xfId="0" applyNumberFormat="1" applyFont="1" applyFill="1" applyBorder="1" applyAlignment="1">
      <alignment horizontal="center"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1" fillId="0" borderId="7" xfId="0" applyNumberFormat="1" applyFont="1" applyFill="1" applyBorder="1" applyAlignment="1">
      <alignment vertical="top" wrapText="1"/>
    </xf>
    <xf numFmtId="0" fontId="5" fillId="0" borderId="16" xfId="0" applyNumberFormat="1" applyFont="1" applyFill="1" applyBorder="1" applyAlignment="1">
      <alignment horizontal="left" vertical="top" wrapText="1" readingOrder="1"/>
    </xf>
    <xf numFmtId="0" fontId="5" fillId="0" borderId="2" xfId="0" applyNumberFormat="1" applyFont="1" applyFill="1" applyBorder="1" applyAlignment="1">
      <alignment horizontal="left" vertical="top" wrapText="1" readingOrder="1"/>
    </xf>
  </cellXfs>
  <cellStyles count="2"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D3D3D3"/>
      <rgbColor rgb="00696969"/>
      <rgbColor rgb="00008000"/>
      <rgbColor rgb="00FFFFFF"/>
      <rgbColor rgb="000000FF"/>
      <rgbColor rgb="00800000"/>
      <rgbColor rgb="004169E1"/>
      <rgbColor rgb="00DCDCDC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48"/>
  <sheetViews>
    <sheetView showGridLines="0" tabSelected="1" zoomScaleNormal="100" workbookViewId="0">
      <selection activeCell="I1" sqref="I1:I1048576"/>
    </sheetView>
  </sheetViews>
  <sheetFormatPr defaultRowHeight="15" x14ac:dyDescent="0.25"/>
  <cols>
    <col min="1" max="1" width="11.42578125" bestFit="1" customWidth="1"/>
    <col min="2" max="2" width="14.85546875" bestFit="1" customWidth="1"/>
    <col min="3" max="3" width="11" bestFit="1" customWidth="1"/>
    <col min="4" max="4" width="27.85546875" bestFit="1" customWidth="1"/>
    <col min="5" max="5" width="19.140625" customWidth="1"/>
    <col min="6" max="6" width="11.85546875" bestFit="1" customWidth="1"/>
    <col min="7" max="7" width="13.42578125" bestFit="1" customWidth="1"/>
    <col min="8" max="8" width="11.7109375" bestFit="1" customWidth="1"/>
    <col min="9" max="9" width="14" bestFit="1" customWidth="1"/>
    <col min="10" max="10" width="10" bestFit="1" customWidth="1"/>
    <col min="11" max="11" width="11.85546875" bestFit="1" customWidth="1"/>
    <col min="12" max="12" width="12.42578125" bestFit="1" customWidth="1"/>
    <col min="13" max="13" width="10.85546875" bestFit="1" customWidth="1"/>
    <col min="14" max="14" width="10.42578125" bestFit="1" customWidth="1"/>
    <col min="15" max="15" width="10.140625" bestFit="1" customWidth="1"/>
    <col min="16" max="16" width="9" bestFit="1" customWidth="1"/>
    <col min="17" max="17" width="11.28515625" bestFit="1" customWidth="1"/>
    <col min="18" max="18" width="10.42578125" bestFit="1" customWidth="1"/>
    <col min="19" max="19" width="10.85546875" bestFit="1" customWidth="1"/>
    <col min="20" max="20" width="13.140625" bestFit="1" customWidth="1"/>
    <col min="21" max="21" width="9.42578125" bestFit="1" customWidth="1"/>
    <col min="22" max="22" width="11" bestFit="1" customWidth="1"/>
    <col min="23" max="23" width="12.85546875" bestFit="1" customWidth="1"/>
    <col min="24" max="24" width="14.7109375" bestFit="1" customWidth="1"/>
    <col min="25" max="25" width="16.140625" bestFit="1" customWidth="1"/>
    <col min="26" max="26" width="11" bestFit="1" customWidth="1"/>
    <col min="27" max="27" width="10.7109375" bestFit="1" customWidth="1"/>
    <col min="28" max="28" width="9.85546875" bestFit="1" customWidth="1"/>
    <col min="29" max="29" width="12.85546875" bestFit="1" customWidth="1"/>
    <col min="30" max="30" width="11.7109375" bestFit="1" customWidth="1"/>
    <col min="31" max="31" width="14.140625" bestFit="1" customWidth="1"/>
    <col min="32" max="32" width="14.28515625" bestFit="1" customWidth="1"/>
    <col min="33" max="33" width="14.42578125" bestFit="1" customWidth="1"/>
    <col min="34" max="34" width="13.140625" bestFit="1" customWidth="1"/>
    <col min="35" max="35" width="11.42578125" bestFit="1" customWidth="1"/>
    <col min="36" max="36" width="12" bestFit="1" customWidth="1"/>
    <col min="37" max="37" width="21.140625" bestFit="1" customWidth="1"/>
    <col min="38" max="39" width="14.42578125" bestFit="1" customWidth="1"/>
    <col min="40" max="40" width="15.140625" bestFit="1" customWidth="1"/>
    <col min="41" max="41" width="13.140625" bestFit="1" customWidth="1"/>
    <col min="42" max="42" width="19.85546875" bestFit="1" customWidth="1"/>
    <col min="43" max="43" width="19.28515625" bestFit="1" customWidth="1"/>
    <col min="44" max="45" width="19.28515625" style="19" customWidth="1"/>
    <col min="46" max="46" width="15" bestFit="1" customWidth="1"/>
    <col min="47" max="47" width="11.42578125" bestFit="1" customWidth="1"/>
    <col min="48" max="48" width="12.7109375" bestFit="1" customWidth="1"/>
  </cols>
  <sheetData>
    <row r="1" spans="1:48" ht="21" customHeight="1" x14ac:dyDescent="0.25">
      <c r="A1" s="53" t="s">
        <v>78</v>
      </c>
      <c r="B1" s="53"/>
      <c r="C1" s="53"/>
      <c r="D1" s="53"/>
      <c r="E1" s="53"/>
    </row>
    <row r="2" spans="1:48" s="19" customFormat="1" ht="10.35" customHeight="1" x14ac:dyDescent="0.25">
      <c r="A2" s="21"/>
      <c r="B2" s="22"/>
      <c r="C2" s="22"/>
      <c r="D2" s="22"/>
    </row>
    <row r="3" spans="1:48" ht="15" customHeight="1" x14ac:dyDescent="0.25">
      <c r="A3" s="56" t="s">
        <v>65</v>
      </c>
      <c r="B3" s="56"/>
      <c r="C3" s="56"/>
      <c r="D3" s="56"/>
      <c r="E3" s="56"/>
      <c r="F3" s="56"/>
      <c r="G3" s="56"/>
      <c r="H3" s="34"/>
      <c r="I3" s="34"/>
      <c r="J3" s="54" t="s">
        <v>1</v>
      </c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6" t="s">
        <v>2</v>
      </c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8" t="s">
        <v>3</v>
      </c>
      <c r="AN3" s="59"/>
      <c r="AO3" s="59"/>
      <c r="AP3" s="59"/>
      <c r="AQ3" s="59"/>
      <c r="AR3" s="60"/>
      <c r="AS3" s="44"/>
      <c r="AT3" s="57" t="s">
        <v>57</v>
      </c>
      <c r="AU3" s="57"/>
      <c r="AV3" s="57"/>
    </row>
    <row r="4" spans="1:48" ht="25.5" x14ac:dyDescent="0.25">
      <c r="A4" s="29" t="s">
        <v>62</v>
      </c>
      <c r="B4" s="29" t="s">
        <v>4</v>
      </c>
      <c r="C4" s="29" t="s">
        <v>5</v>
      </c>
      <c r="D4" s="29" t="s">
        <v>63</v>
      </c>
      <c r="E4" s="29" t="s">
        <v>64</v>
      </c>
      <c r="F4" s="29" t="s">
        <v>6</v>
      </c>
      <c r="G4" s="29" t="s">
        <v>7</v>
      </c>
      <c r="H4" s="35" t="s">
        <v>55</v>
      </c>
      <c r="I4" s="35" t="s">
        <v>56</v>
      </c>
      <c r="J4" s="36" t="s">
        <v>8</v>
      </c>
      <c r="K4" s="36" t="s">
        <v>9</v>
      </c>
      <c r="L4" s="36" t="s">
        <v>10</v>
      </c>
      <c r="M4" s="36" t="s">
        <v>11</v>
      </c>
      <c r="N4" s="36" t="s">
        <v>12</v>
      </c>
      <c r="O4" s="36" t="s">
        <v>13</v>
      </c>
      <c r="P4" s="36" t="s">
        <v>14</v>
      </c>
      <c r="Q4" s="36" t="s">
        <v>15</v>
      </c>
      <c r="R4" s="36" t="s">
        <v>16</v>
      </c>
      <c r="S4" s="36" t="s">
        <v>17</v>
      </c>
      <c r="T4" s="36" t="s">
        <v>18</v>
      </c>
      <c r="U4" s="36" t="s">
        <v>19</v>
      </c>
      <c r="V4" s="36" t="s">
        <v>20</v>
      </c>
      <c r="W4" s="36" t="s">
        <v>21</v>
      </c>
      <c r="X4" s="36" t="s">
        <v>22</v>
      </c>
      <c r="Y4" s="36" t="s">
        <v>23</v>
      </c>
      <c r="Z4" s="36" t="s">
        <v>24</v>
      </c>
      <c r="AA4" s="36" t="s">
        <v>25</v>
      </c>
      <c r="AB4" s="29" t="s">
        <v>26</v>
      </c>
      <c r="AC4" s="29" t="s">
        <v>34</v>
      </c>
      <c r="AD4" s="29" t="s">
        <v>28</v>
      </c>
      <c r="AE4" s="29" t="s">
        <v>33</v>
      </c>
      <c r="AF4" s="29" t="s">
        <v>32</v>
      </c>
      <c r="AG4" s="29" t="s">
        <v>35</v>
      </c>
      <c r="AH4" s="29" t="s">
        <v>30</v>
      </c>
      <c r="AI4" s="29" t="s">
        <v>27</v>
      </c>
      <c r="AJ4" s="29" t="s">
        <v>29</v>
      </c>
      <c r="AK4" s="29" t="s">
        <v>61</v>
      </c>
      <c r="AL4" s="29" t="s">
        <v>36</v>
      </c>
      <c r="AM4" s="37" t="s">
        <v>66</v>
      </c>
      <c r="AN4" s="37" t="s">
        <v>67</v>
      </c>
      <c r="AO4" s="37" t="s">
        <v>68</v>
      </c>
      <c r="AP4" s="37" t="s">
        <v>69</v>
      </c>
      <c r="AQ4" s="37" t="s">
        <v>70</v>
      </c>
      <c r="AR4" s="41" t="s">
        <v>71</v>
      </c>
      <c r="AS4" s="41" t="s">
        <v>75</v>
      </c>
      <c r="AT4" s="39" t="s">
        <v>58</v>
      </c>
      <c r="AU4" s="39" t="s">
        <v>59</v>
      </c>
      <c r="AV4" s="39" t="s">
        <v>60</v>
      </c>
    </row>
    <row r="5" spans="1:48" x14ac:dyDescent="0.25">
      <c r="A5" s="31">
        <v>150</v>
      </c>
      <c r="B5" s="32" t="s">
        <v>8</v>
      </c>
      <c r="C5" s="32" t="s">
        <v>79</v>
      </c>
      <c r="D5" s="32" t="s">
        <v>80</v>
      </c>
      <c r="E5" s="32" t="s">
        <v>81</v>
      </c>
      <c r="F5" s="32">
        <v>33.038459000000003</v>
      </c>
      <c r="G5" s="32">
        <v>40.293291000000004</v>
      </c>
      <c r="H5" s="33">
        <v>524</v>
      </c>
      <c r="I5" s="33">
        <v>3144</v>
      </c>
      <c r="J5" s="33">
        <v>91</v>
      </c>
      <c r="K5" s="33"/>
      <c r="L5" s="33">
        <v>240</v>
      </c>
      <c r="M5" s="33"/>
      <c r="N5" s="33"/>
      <c r="O5" s="33"/>
      <c r="P5" s="33">
        <v>193</v>
      </c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>
        <v>524</v>
      </c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>
        <v>401</v>
      </c>
      <c r="AO5" s="33"/>
      <c r="AP5" s="33">
        <v>32</v>
      </c>
      <c r="AQ5" s="33"/>
      <c r="AR5" s="33">
        <v>91</v>
      </c>
      <c r="AS5" s="33"/>
      <c r="AT5" s="38" t="str">
        <f>HYPERLINK("http://www.openstreetmap.org/?mlat=33.0385&amp;mlon=40.2933&amp;zoom=12#map=12/33.0385/40.2933","Maplink1")</f>
        <v>Maplink1</v>
      </c>
      <c r="AU5" s="38" t="str">
        <f>HYPERLINK("https://www.google.iq/maps/search/+33.0385,40.2933/@33.0385,40.2933,14z?hl=en","Maplink2")</f>
        <v>Maplink2</v>
      </c>
      <c r="AV5" s="38" t="str">
        <f>HYPERLINK("http://www.bing.com/maps/?lvl=14&amp;sty=h&amp;cp=33.0385~40.2933&amp;sp=point.33.0385_40.2933","Maplink3")</f>
        <v>Maplink3</v>
      </c>
    </row>
    <row r="6" spans="1:48" x14ac:dyDescent="0.25">
      <c r="A6" s="9">
        <v>167</v>
      </c>
      <c r="B6" s="10" t="s">
        <v>8</v>
      </c>
      <c r="C6" s="10" t="s">
        <v>79</v>
      </c>
      <c r="D6" s="10" t="s">
        <v>82</v>
      </c>
      <c r="E6" s="10" t="s">
        <v>83</v>
      </c>
      <c r="F6" s="10">
        <v>33.041953999999997</v>
      </c>
      <c r="G6" s="10">
        <v>40.275979999999997</v>
      </c>
      <c r="H6" s="11">
        <v>822</v>
      </c>
      <c r="I6" s="11">
        <v>4932</v>
      </c>
      <c r="J6" s="11">
        <v>370</v>
      </c>
      <c r="K6" s="11"/>
      <c r="L6" s="11">
        <v>381</v>
      </c>
      <c r="M6" s="11"/>
      <c r="N6" s="11"/>
      <c r="O6" s="11"/>
      <c r="P6" s="11">
        <v>46</v>
      </c>
      <c r="Q6" s="11"/>
      <c r="R6" s="11"/>
      <c r="S6" s="11"/>
      <c r="T6" s="11"/>
      <c r="U6" s="11"/>
      <c r="V6" s="11"/>
      <c r="W6" s="11"/>
      <c r="X6" s="11"/>
      <c r="Y6" s="11">
        <v>25</v>
      </c>
      <c r="Z6" s="11"/>
      <c r="AA6" s="11"/>
      <c r="AB6" s="11"/>
      <c r="AC6" s="11">
        <v>822</v>
      </c>
      <c r="AD6" s="11"/>
      <c r="AE6" s="11"/>
      <c r="AF6" s="11"/>
      <c r="AG6" s="11"/>
      <c r="AH6" s="11"/>
      <c r="AI6" s="11"/>
      <c r="AJ6" s="11"/>
      <c r="AK6" s="11"/>
      <c r="AL6" s="11"/>
      <c r="AM6" s="11">
        <v>230</v>
      </c>
      <c r="AN6" s="11">
        <v>201</v>
      </c>
      <c r="AO6" s="11"/>
      <c r="AP6" s="11">
        <v>21</v>
      </c>
      <c r="AQ6" s="11"/>
      <c r="AR6" s="11">
        <v>370</v>
      </c>
      <c r="AS6" s="11"/>
      <c r="AT6" s="20" t="str">
        <f>HYPERLINK("http://www.openstreetmap.org/?mlat=33.042&amp;mlon=40.276&amp;zoom=12#map=12/33.042/40.276","Maplink1")</f>
        <v>Maplink1</v>
      </c>
      <c r="AU6" s="20" t="str">
        <f>HYPERLINK("https://www.google.iq/maps/search/+33.042,40.276/@33.042,40.276,14z?hl=en","Maplink2")</f>
        <v>Maplink2</v>
      </c>
      <c r="AV6" s="20" t="str">
        <f>HYPERLINK("http://www.bing.com/maps/?lvl=14&amp;sty=h&amp;cp=33.042~40.276&amp;sp=point.33.042_40.276","Maplink3")</f>
        <v>Maplink3</v>
      </c>
    </row>
    <row r="7" spans="1:48" x14ac:dyDescent="0.25">
      <c r="A7" s="9">
        <v>231</v>
      </c>
      <c r="B7" s="10" t="s">
        <v>8</v>
      </c>
      <c r="C7" s="10" t="s">
        <v>79</v>
      </c>
      <c r="D7" s="10" t="s">
        <v>84</v>
      </c>
      <c r="E7" s="10" t="s">
        <v>85</v>
      </c>
      <c r="F7" s="10">
        <v>33.036414000000001</v>
      </c>
      <c r="G7" s="10">
        <v>40.284368999999998</v>
      </c>
      <c r="H7" s="11">
        <v>125</v>
      </c>
      <c r="I7" s="11">
        <v>750</v>
      </c>
      <c r="J7" s="11"/>
      <c r="K7" s="11"/>
      <c r="L7" s="11"/>
      <c r="M7" s="11"/>
      <c r="N7" s="11"/>
      <c r="O7" s="11"/>
      <c r="P7" s="11">
        <v>125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>
        <v>125</v>
      </c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>
        <v>125</v>
      </c>
      <c r="AQ7" s="11"/>
      <c r="AR7" s="11"/>
      <c r="AS7" s="11"/>
      <c r="AT7" s="20" t="str">
        <f>HYPERLINK("http://www.openstreetmap.org/?mlat=33.0364&amp;mlon=40.2844&amp;zoom=12#map=12/33.0364/40.2844","Maplink1")</f>
        <v>Maplink1</v>
      </c>
      <c r="AU7" s="20" t="str">
        <f>HYPERLINK("https://www.google.iq/maps/search/+33.0364,40.2844/@33.0364,40.2844,14z?hl=en","Maplink2")</f>
        <v>Maplink2</v>
      </c>
      <c r="AV7" s="20" t="str">
        <f>HYPERLINK("http://www.bing.com/maps/?lvl=14&amp;sty=h&amp;cp=33.0364~40.2844&amp;sp=point.33.0364_40.2844","Maplink3")</f>
        <v>Maplink3</v>
      </c>
    </row>
    <row r="8" spans="1:48" x14ac:dyDescent="0.25">
      <c r="A8" s="9">
        <v>23935</v>
      </c>
      <c r="B8" s="10" t="s">
        <v>8</v>
      </c>
      <c r="C8" s="10" t="s">
        <v>79</v>
      </c>
      <c r="D8" s="10" t="s">
        <v>86</v>
      </c>
      <c r="E8" s="10" t="s">
        <v>87</v>
      </c>
      <c r="F8" s="10">
        <v>33.058459999999997</v>
      </c>
      <c r="G8" s="10">
        <v>40.344459999999998</v>
      </c>
      <c r="H8" s="11">
        <v>170</v>
      </c>
      <c r="I8" s="11">
        <v>1020</v>
      </c>
      <c r="J8" s="11"/>
      <c r="K8" s="11"/>
      <c r="L8" s="11">
        <v>170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>
        <v>170</v>
      </c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>
        <v>170</v>
      </c>
      <c r="AO8" s="11"/>
      <c r="AP8" s="11"/>
      <c r="AQ8" s="11"/>
      <c r="AR8" s="11"/>
      <c r="AS8" s="11"/>
      <c r="AT8" s="20" t="str">
        <f>HYPERLINK("http://www.openstreetmap.org/?mlat=33.0585&amp;mlon=40.3445&amp;zoom=12#map=12/33.0585/40.3445","Maplink1")</f>
        <v>Maplink1</v>
      </c>
      <c r="AU8" s="20" t="str">
        <f>HYPERLINK("https://www.google.iq/maps/search/+33.0585,40.3445/@33.0585,40.3445,14z?hl=en","Maplink2")</f>
        <v>Maplink2</v>
      </c>
      <c r="AV8" s="20" t="str">
        <f>HYPERLINK("http://www.bing.com/maps/?lvl=14&amp;sty=h&amp;cp=33.0585~40.3445&amp;sp=point.33.0585_40.3445","Maplink3")</f>
        <v>Maplink3</v>
      </c>
    </row>
    <row r="9" spans="1:48" x14ac:dyDescent="0.25">
      <c r="A9" s="9">
        <v>233</v>
      </c>
      <c r="B9" s="10" t="s">
        <v>8</v>
      </c>
      <c r="C9" s="10" t="s">
        <v>79</v>
      </c>
      <c r="D9" s="10" t="s">
        <v>88</v>
      </c>
      <c r="E9" s="10" t="s">
        <v>89</v>
      </c>
      <c r="F9" s="10">
        <v>33.039321000000001</v>
      </c>
      <c r="G9" s="10">
        <v>40.293433999999998</v>
      </c>
      <c r="H9" s="11">
        <v>689</v>
      </c>
      <c r="I9" s="11">
        <v>4134</v>
      </c>
      <c r="J9" s="11">
        <v>245</v>
      </c>
      <c r="K9" s="11"/>
      <c r="L9" s="11">
        <v>397</v>
      </c>
      <c r="M9" s="11"/>
      <c r="N9" s="11"/>
      <c r="O9" s="11"/>
      <c r="P9" s="11">
        <v>47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>
        <v>689</v>
      </c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>
        <v>210</v>
      </c>
      <c r="AO9" s="11"/>
      <c r="AP9" s="11">
        <v>234</v>
      </c>
      <c r="AQ9" s="11"/>
      <c r="AR9" s="11">
        <v>245</v>
      </c>
      <c r="AS9" s="11"/>
      <c r="AT9" s="20" t="str">
        <f>HYPERLINK("http://www.openstreetmap.org/?mlat=33.0393&amp;mlon=40.2934&amp;zoom=12#map=12/33.0393/40.2934","Maplink1")</f>
        <v>Maplink1</v>
      </c>
      <c r="AU9" s="20" t="str">
        <f>HYPERLINK("https://www.google.iq/maps/search/+33.0393,40.2934/@33.0393,40.2934,14z?hl=en","Maplink2")</f>
        <v>Maplink2</v>
      </c>
      <c r="AV9" s="20" t="str">
        <f>HYPERLINK("http://www.bing.com/maps/?lvl=14&amp;sty=h&amp;cp=33.0393~40.2934&amp;sp=point.33.0393_40.2934","Maplink3")</f>
        <v>Maplink3</v>
      </c>
    </row>
    <row r="10" spans="1:48" x14ac:dyDescent="0.25">
      <c r="A10" s="9">
        <v>166</v>
      </c>
      <c r="B10" s="10" t="s">
        <v>8</v>
      </c>
      <c r="C10" s="10" t="s">
        <v>79</v>
      </c>
      <c r="D10" s="10" t="s">
        <v>90</v>
      </c>
      <c r="E10" s="10" t="s">
        <v>91</v>
      </c>
      <c r="F10" s="10">
        <v>33.039800999999997</v>
      </c>
      <c r="G10" s="10">
        <v>40.282946000000003</v>
      </c>
      <c r="H10" s="11">
        <v>137</v>
      </c>
      <c r="I10" s="11">
        <v>822</v>
      </c>
      <c r="J10" s="11"/>
      <c r="K10" s="11"/>
      <c r="L10" s="11">
        <v>137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>
        <v>137</v>
      </c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>
        <v>137</v>
      </c>
      <c r="AQ10" s="11"/>
      <c r="AR10" s="11"/>
      <c r="AS10" s="11"/>
      <c r="AT10" s="20" t="str">
        <f>HYPERLINK("http://www.openstreetmap.org/?mlat=33.0398&amp;mlon=40.2829&amp;zoom=12#map=12/33.0398/40.2829","Maplink1")</f>
        <v>Maplink1</v>
      </c>
      <c r="AU10" s="20" t="str">
        <f>HYPERLINK("https://www.google.iq/maps/search/+33.0398,40.2829/@33.0398,40.2829,14z?hl=en","Maplink2")</f>
        <v>Maplink2</v>
      </c>
      <c r="AV10" s="20" t="str">
        <f>HYPERLINK("http://www.bing.com/maps/?lvl=14&amp;sty=h&amp;cp=33.0398~40.2829&amp;sp=point.33.0398_40.2829","Maplink3")</f>
        <v>Maplink3</v>
      </c>
    </row>
    <row r="11" spans="1:48" x14ac:dyDescent="0.25">
      <c r="A11" s="9">
        <v>23888</v>
      </c>
      <c r="B11" s="10" t="s">
        <v>8</v>
      </c>
      <c r="C11" s="10" t="s">
        <v>79</v>
      </c>
      <c r="D11" s="10" t="s">
        <v>92</v>
      </c>
      <c r="E11" s="10" t="s">
        <v>93</v>
      </c>
      <c r="F11" s="10">
        <v>33.037021000000003</v>
      </c>
      <c r="G11" s="10">
        <v>40.279730999999998</v>
      </c>
      <c r="H11" s="11">
        <v>751</v>
      </c>
      <c r="I11" s="11">
        <v>4506</v>
      </c>
      <c r="J11" s="11">
        <v>210</v>
      </c>
      <c r="K11" s="11"/>
      <c r="L11" s="11">
        <v>367</v>
      </c>
      <c r="M11" s="11"/>
      <c r="N11" s="11"/>
      <c r="O11" s="11"/>
      <c r="P11" s="11">
        <v>174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>
        <v>751</v>
      </c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>
        <v>174</v>
      </c>
      <c r="AO11" s="11"/>
      <c r="AP11" s="11">
        <v>367</v>
      </c>
      <c r="AQ11" s="11"/>
      <c r="AR11" s="11">
        <v>210</v>
      </c>
      <c r="AS11" s="11"/>
      <c r="AT11" s="20" t="str">
        <f>HYPERLINK("http://www.openstreetmap.org/?mlat=33.037&amp;mlon=40.2797&amp;zoom=12#map=12/33.037/40.2797","Maplink1")</f>
        <v>Maplink1</v>
      </c>
      <c r="AU11" s="20" t="str">
        <f>HYPERLINK("https://www.google.iq/maps/search/+33.037,40.2797/@33.037,40.2797,14z?hl=en","Maplink2")</f>
        <v>Maplink2</v>
      </c>
      <c r="AV11" s="20" t="str">
        <f>HYPERLINK("http://www.bing.com/maps/?lvl=14&amp;sty=h&amp;cp=33.037~40.2797&amp;sp=point.33.037_40.2797","Maplink3")</f>
        <v>Maplink3</v>
      </c>
    </row>
    <row r="12" spans="1:48" x14ac:dyDescent="0.25">
      <c r="A12" s="9">
        <v>21613</v>
      </c>
      <c r="B12" s="10" t="s">
        <v>8</v>
      </c>
      <c r="C12" s="10" t="s">
        <v>94</v>
      </c>
      <c r="D12" s="10" t="s">
        <v>95</v>
      </c>
      <c r="E12" s="10" t="s">
        <v>96</v>
      </c>
      <c r="F12" s="10">
        <v>33.416049999999998</v>
      </c>
      <c r="G12" s="10">
        <v>43.736939999999997</v>
      </c>
      <c r="H12" s="11">
        <v>571</v>
      </c>
      <c r="I12" s="11">
        <v>3426</v>
      </c>
      <c r="J12" s="11">
        <v>78</v>
      </c>
      <c r="K12" s="11"/>
      <c r="L12" s="11">
        <v>170</v>
      </c>
      <c r="M12" s="11"/>
      <c r="N12" s="11"/>
      <c r="O12" s="11"/>
      <c r="P12" s="11">
        <v>141</v>
      </c>
      <c r="Q12" s="11"/>
      <c r="R12" s="11">
        <v>182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>
        <v>571</v>
      </c>
      <c r="AD12" s="11"/>
      <c r="AE12" s="11"/>
      <c r="AF12" s="11"/>
      <c r="AG12" s="11"/>
      <c r="AH12" s="11"/>
      <c r="AI12" s="11"/>
      <c r="AJ12" s="11"/>
      <c r="AK12" s="11"/>
      <c r="AL12" s="11"/>
      <c r="AM12" s="11">
        <v>389</v>
      </c>
      <c r="AN12" s="11"/>
      <c r="AO12" s="11"/>
      <c r="AP12" s="11">
        <v>182</v>
      </c>
      <c r="AQ12" s="11"/>
      <c r="AR12" s="11"/>
      <c r="AS12" s="11"/>
      <c r="AT12" s="20" t="str">
        <f>HYPERLINK("http://www.openstreetmap.org/?mlat=33.416&amp;mlon=43.7369&amp;zoom=12#map=12/33.416/43.7369","Maplink1")</f>
        <v>Maplink1</v>
      </c>
      <c r="AU12" s="20" t="str">
        <f>HYPERLINK("https://www.google.iq/maps/search/+33.416,43.7369/@33.416,43.7369,14z?hl=en","Maplink2")</f>
        <v>Maplink2</v>
      </c>
      <c r="AV12" s="20" t="str">
        <f>HYPERLINK("http://www.bing.com/maps/?lvl=14&amp;sty=h&amp;cp=33.416~43.7369&amp;sp=point.33.416_43.7369","Maplink3")</f>
        <v>Maplink3</v>
      </c>
    </row>
    <row r="13" spans="1:48" x14ac:dyDescent="0.25">
      <c r="A13" s="9">
        <v>23801</v>
      </c>
      <c r="B13" s="10" t="s">
        <v>8</v>
      </c>
      <c r="C13" s="10" t="s">
        <v>94</v>
      </c>
      <c r="D13" s="10" t="s">
        <v>97</v>
      </c>
      <c r="E13" s="10" t="s">
        <v>98</v>
      </c>
      <c r="F13" s="10">
        <v>33.347090000000001</v>
      </c>
      <c r="G13" s="10">
        <v>43.732219999999998</v>
      </c>
      <c r="H13" s="11">
        <v>1133</v>
      </c>
      <c r="I13" s="11">
        <v>6798</v>
      </c>
      <c r="J13" s="11">
        <v>825</v>
      </c>
      <c r="K13" s="11"/>
      <c r="L13" s="11">
        <v>145</v>
      </c>
      <c r="M13" s="11"/>
      <c r="N13" s="11"/>
      <c r="O13" s="11"/>
      <c r="P13" s="11">
        <v>163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>
        <v>1043</v>
      </c>
      <c r="AD13" s="11"/>
      <c r="AE13" s="11"/>
      <c r="AF13" s="11"/>
      <c r="AG13" s="11"/>
      <c r="AH13" s="11"/>
      <c r="AI13" s="11">
        <v>90</v>
      </c>
      <c r="AJ13" s="11"/>
      <c r="AK13" s="11"/>
      <c r="AL13" s="11"/>
      <c r="AM13" s="11">
        <v>485</v>
      </c>
      <c r="AN13" s="11">
        <v>70</v>
      </c>
      <c r="AO13" s="11"/>
      <c r="AP13" s="11">
        <v>163</v>
      </c>
      <c r="AQ13" s="11">
        <v>220</v>
      </c>
      <c r="AR13" s="11">
        <v>195</v>
      </c>
      <c r="AS13" s="11"/>
      <c r="AT13" s="20" t="str">
        <f>HYPERLINK("http://www.openstreetmap.org/?mlat=33.3471&amp;mlon=43.7322&amp;zoom=12#map=12/33.3471/43.7322","Maplink1")</f>
        <v>Maplink1</v>
      </c>
      <c r="AU13" s="20" t="str">
        <f>HYPERLINK("https://www.google.iq/maps/search/+33.3471,43.7322/@33.3471,43.7322,14z?hl=en","Maplink2")</f>
        <v>Maplink2</v>
      </c>
      <c r="AV13" s="20" t="str">
        <f>HYPERLINK("http://www.bing.com/maps/?lvl=14&amp;sty=h&amp;cp=33.3471~43.7322&amp;sp=point.33.3471_43.7322","Maplink3")</f>
        <v>Maplink3</v>
      </c>
    </row>
    <row r="14" spans="1:48" x14ac:dyDescent="0.25">
      <c r="A14" s="9">
        <v>20899</v>
      </c>
      <c r="B14" s="10" t="s">
        <v>8</v>
      </c>
      <c r="C14" s="10" t="s">
        <v>94</v>
      </c>
      <c r="D14" s="10" t="s">
        <v>99</v>
      </c>
      <c r="E14" s="10" t="s">
        <v>100</v>
      </c>
      <c r="F14" s="10">
        <v>33.341909999999999</v>
      </c>
      <c r="G14" s="10">
        <v>43.65869</v>
      </c>
      <c r="H14" s="11">
        <v>2273</v>
      </c>
      <c r="I14" s="11">
        <v>13638</v>
      </c>
      <c r="J14" s="11">
        <v>1429</v>
      </c>
      <c r="K14" s="11"/>
      <c r="L14" s="11">
        <v>400</v>
      </c>
      <c r="M14" s="11"/>
      <c r="N14" s="11"/>
      <c r="O14" s="11"/>
      <c r="P14" s="11">
        <v>321</v>
      </c>
      <c r="Q14" s="11"/>
      <c r="R14" s="11">
        <v>80</v>
      </c>
      <c r="S14" s="11"/>
      <c r="T14" s="11"/>
      <c r="U14" s="11"/>
      <c r="V14" s="11"/>
      <c r="W14" s="11"/>
      <c r="X14" s="11"/>
      <c r="Y14" s="11">
        <v>43</v>
      </c>
      <c r="Z14" s="11"/>
      <c r="AA14" s="11"/>
      <c r="AB14" s="11"/>
      <c r="AC14" s="11">
        <v>2216</v>
      </c>
      <c r="AD14" s="11"/>
      <c r="AE14" s="11"/>
      <c r="AF14" s="11"/>
      <c r="AG14" s="11"/>
      <c r="AH14" s="11"/>
      <c r="AI14" s="11">
        <v>57</v>
      </c>
      <c r="AJ14" s="11"/>
      <c r="AK14" s="11"/>
      <c r="AL14" s="11"/>
      <c r="AM14" s="11">
        <v>828</v>
      </c>
      <c r="AN14" s="11">
        <v>211</v>
      </c>
      <c r="AO14" s="11"/>
      <c r="AP14" s="11">
        <v>137</v>
      </c>
      <c r="AQ14" s="11">
        <v>624</v>
      </c>
      <c r="AR14" s="11">
        <v>473</v>
      </c>
      <c r="AS14" s="11"/>
      <c r="AT14" s="20" t="str">
        <f>HYPERLINK("http://www.openstreetmap.org/?mlat=33.3419&amp;mlon=43.6587&amp;zoom=12#map=12/33.3419/43.6587","Maplink1")</f>
        <v>Maplink1</v>
      </c>
      <c r="AU14" s="20" t="str">
        <f>HYPERLINK("https://www.google.iq/maps/search/+33.3419,43.6587/@33.3419,43.6587,14z?hl=en","Maplink2")</f>
        <v>Maplink2</v>
      </c>
      <c r="AV14" s="20" t="str">
        <f>HYPERLINK("http://www.bing.com/maps/?lvl=14&amp;sty=h&amp;cp=33.3419~43.6587&amp;sp=point.33.3419_43.6587","Maplink3")</f>
        <v>Maplink3</v>
      </c>
    </row>
    <row r="15" spans="1:48" x14ac:dyDescent="0.25">
      <c r="A15" s="9">
        <v>22864</v>
      </c>
      <c r="B15" s="10" t="s">
        <v>8</v>
      </c>
      <c r="C15" s="10" t="s">
        <v>94</v>
      </c>
      <c r="D15" s="10" t="s">
        <v>101</v>
      </c>
      <c r="E15" s="10" t="s">
        <v>102</v>
      </c>
      <c r="F15" s="10">
        <v>33.279702999999998</v>
      </c>
      <c r="G15" s="10">
        <v>43.795606999999997</v>
      </c>
      <c r="H15" s="11">
        <v>742</v>
      </c>
      <c r="I15" s="11">
        <v>4452</v>
      </c>
      <c r="J15" s="11">
        <v>509</v>
      </c>
      <c r="K15" s="11"/>
      <c r="L15" s="11">
        <v>56</v>
      </c>
      <c r="M15" s="11"/>
      <c r="N15" s="11">
        <v>13</v>
      </c>
      <c r="O15" s="11"/>
      <c r="P15" s="11">
        <v>82</v>
      </c>
      <c r="Q15" s="11"/>
      <c r="R15" s="11">
        <v>63</v>
      </c>
      <c r="S15" s="11"/>
      <c r="T15" s="11"/>
      <c r="U15" s="11"/>
      <c r="V15" s="11"/>
      <c r="W15" s="11"/>
      <c r="X15" s="11"/>
      <c r="Y15" s="11">
        <v>19</v>
      </c>
      <c r="Z15" s="11"/>
      <c r="AA15" s="11"/>
      <c r="AB15" s="11"/>
      <c r="AC15" s="11">
        <v>742</v>
      </c>
      <c r="AD15" s="11"/>
      <c r="AE15" s="11"/>
      <c r="AF15" s="11"/>
      <c r="AG15" s="11"/>
      <c r="AH15" s="11"/>
      <c r="AI15" s="11"/>
      <c r="AJ15" s="11"/>
      <c r="AK15" s="11"/>
      <c r="AL15" s="11"/>
      <c r="AM15" s="11">
        <v>297</v>
      </c>
      <c r="AN15" s="11">
        <v>43</v>
      </c>
      <c r="AO15" s="11"/>
      <c r="AP15" s="11">
        <v>56</v>
      </c>
      <c r="AQ15" s="11"/>
      <c r="AR15" s="11">
        <v>346</v>
      </c>
      <c r="AS15" s="11"/>
      <c r="AT15" s="20" t="str">
        <f>HYPERLINK("http://www.openstreetmap.org/?mlat=33.2797&amp;mlon=43.7956&amp;zoom=12#map=12/33.2797/43.7956","Maplink1")</f>
        <v>Maplink1</v>
      </c>
      <c r="AU15" s="20" t="str">
        <f>HYPERLINK("https://www.google.iq/maps/search/+33.2797,43.7956/@33.2797,43.7956,14z?hl=en","Maplink2")</f>
        <v>Maplink2</v>
      </c>
      <c r="AV15" s="20" t="str">
        <f>HYPERLINK("http://www.bing.com/maps/?lvl=14&amp;sty=h&amp;cp=33.2797~43.7956&amp;sp=point.33.2797_43.7956","Maplink3")</f>
        <v>Maplink3</v>
      </c>
    </row>
    <row r="16" spans="1:48" x14ac:dyDescent="0.25">
      <c r="A16" s="9">
        <v>29700</v>
      </c>
      <c r="B16" s="10" t="s">
        <v>8</v>
      </c>
      <c r="C16" s="10" t="s">
        <v>94</v>
      </c>
      <c r="D16" s="10" t="s">
        <v>103</v>
      </c>
      <c r="E16" s="10" t="s">
        <v>104</v>
      </c>
      <c r="F16" s="10">
        <v>33.374969999999998</v>
      </c>
      <c r="G16" s="10">
        <v>43.801859999999998</v>
      </c>
      <c r="H16" s="11">
        <v>1295</v>
      </c>
      <c r="I16" s="11">
        <v>7770</v>
      </c>
      <c r="J16" s="11">
        <v>572</v>
      </c>
      <c r="K16" s="11"/>
      <c r="L16" s="11">
        <v>323</v>
      </c>
      <c r="M16" s="11"/>
      <c r="N16" s="11"/>
      <c r="O16" s="11"/>
      <c r="P16" s="11">
        <v>90</v>
      </c>
      <c r="Q16" s="11"/>
      <c r="R16" s="11"/>
      <c r="S16" s="11"/>
      <c r="T16" s="11"/>
      <c r="U16" s="11"/>
      <c r="V16" s="11"/>
      <c r="W16" s="11"/>
      <c r="X16" s="11"/>
      <c r="Y16" s="11">
        <v>310</v>
      </c>
      <c r="Z16" s="11"/>
      <c r="AA16" s="11"/>
      <c r="AB16" s="11"/>
      <c r="AC16" s="11">
        <v>1295</v>
      </c>
      <c r="AD16" s="11"/>
      <c r="AE16" s="11"/>
      <c r="AF16" s="11"/>
      <c r="AG16" s="11"/>
      <c r="AH16" s="11"/>
      <c r="AI16" s="11"/>
      <c r="AJ16" s="11"/>
      <c r="AK16" s="11"/>
      <c r="AL16" s="11"/>
      <c r="AM16" s="11">
        <v>849</v>
      </c>
      <c r="AN16" s="11"/>
      <c r="AO16" s="11"/>
      <c r="AP16" s="11"/>
      <c r="AQ16" s="11">
        <v>136</v>
      </c>
      <c r="AR16" s="11">
        <v>310</v>
      </c>
      <c r="AS16" s="11"/>
      <c r="AT16" s="20" t="str">
        <f>HYPERLINK("http://www.openstreetmap.org/?mlat=33.375&amp;mlon=43.8019&amp;zoom=12#map=12/33.375/43.8019","Maplink1")</f>
        <v>Maplink1</v>
      </c>
      <c r="AU16" s="20" t="str">
        <f>HYPERLINK("https://www.google.iq/maps/search/+33.375,43.8019/@33.375,43.8019,14z?hl=en","Maplink2")</f>
        <v>Maplink2</v>
      </c>
      <c r="AV16" s="20" t="str">
        <f>HYPERLINK("http://www.bing.com/maps/?lvl=14&amp;sty=h&amp;cp=33.375~43.8019&amp;sp=point.33.375_43.8019","Maplink3")</f>
        <v>Maplink3</v>
      </c>
    </row>
    <row r="17" spans="1:48" x14ac:dyDescent="0.25">
      <c r="A17" s="9">
        <v>21742</v>
      </c>
      <c r="B17" s="10" t="s">
        <v>8</v>
      </c>
      <c r="C17" s="10" t="s">
        <v>94</v>
      </c>
      <c r="D17" s="10" t="s">
        <v>105</v>
      </c>
      <c r="E17" s="10" t="s">
        <v>106</v>
      </c>
      <c r="F17" s="10">
        <v>33.434659000000003</v>
      </c>
      <c r="G17" s="10">
        <v>43.963735</v>
      </c>
      <c r="H17" s="11">
        <v>1139</v>
      </c>
      <c r="I17" s="11">
        <v>6834</v>
      </c>
      <c r="J17" s="11">
        <v>700</v>
      </c>
      <c r="K17" s="11"/>
      <c r="L17" s="11">
        <v>346</v>
      </c>
      <c r="M17" s="11"/>
      <c r="N17" s="11"/>
      <c r="O17" s="11"/>
      <c r="P17" s="11">
        <v>93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>
        <v>1139</v>
      </c>
      <c r="AD17" s="11"/>
      <c r="AE17" s="11"/>
      <c r="AF17" s="11"/>
      <c r="AG17" s="11"/>
      <c r="AH17" s="11"/>
      <c r="AI17" s="11"/>
      <c r="AJ17" s="11"/>
      <c r="AK17" s="11"/>
      <c r="AL17" s="11"/>
      <c r="AM17" s="11">
        <v>286</v>
      </c>
      <c r="AN17" s="11">
        <v>307</v>
      </c>
      <c r="AO17" s="11"/>
      <c r="AP17" s="11">
        <v>174</v>
      </c>
      <c r="AQ17" s="11">
        <v>372</v>
      </c>
      <c r="AR17" s="11"/>
      <c r="AS17" s="11"/>
      <c r="AT17" s="20" t="str">
        <f>HYPERLINK("http://www.openstreetmap.org/?mlat=33.4347&amp;mlon=43.9637&amp;zoom=12#map=12/33.4347/43.9637","Maplink1")</f>
        <v>Maplink1</v>
      </c>
      <c r="AU17" s="20" t="str">
        <f>HYPERLINK("https://www.google.iq/maps/search/+33.4347,43.9637/@33.4347,43.9637,14z?hl=en","Maplink2")</f>
        <v>Maplink2</v>
      </c>
      <c r="AV17" s="20" t="str">
        <f>HYPERLINK("http://www.bing.com/maps/?lvl=14&amp;sty=h&amp;cp=33.4347~43.9637&amp;sp=point.33.4347_43.9637","Maplink3")</f>
        <v>Maplink3</v>
      </c>
    </row>
    <row r="18" spans="1:48" x14ac:dyDescent="0.25">
      <c r="A18" s="9">
        <v>122</v>
      </c>
      <c r="B18" s="10" t="s">
        <v>8</v>
      </c>
      <c r="C18" s="10" t="s">
        <v>94</v>
      </c>
      <c r="D18" s="10" t="s">
        <v>107</v>
      </c>
      <c r="E18" s="10" t="s">
        <v>108</v>
      </c>
      <c r="F18" s="10">
        <v>33.356830000000002</v>
      </c>
      <c r="G18" s="10">
        <v>43.784210000000002</v>
      </c>
      <c r="H18" s="11">
        <v>2082</v>
      </c>
      <c r="I18" s="11">
        <v>12492</v>
      </c>
      <c r="J18" s="11">
        <v>1361</v>
      </c>
      <c r="K18" s="11"/>
      <c r="L18" s="11"/>
      <c r="M18" s="11"/>
      <c r="N18" s="11"/>
      <c r="O18" s="11"/>
      <c r="P18" s="11">
        <v>482</v>
      </c>
      <c r="Q18" s="11"/>
      <c r="R18" s="11">
        <v>59</v>
      </c>
      <c r="S18" s="11"/>
      <c r="T18" s="11"/>
      <c r="U18" s="11"/>
      <c r="V18" s="11"/>
      <c r="W18" s="11"/>
      <c r="X18" s="11"/>
      <c r="Y18" s="11">
        <v>180</v>
      </c>
      <c r="Z18" s="11"/>
      <c r="AA18" s="11"/>
      <c r="AB18" s="11"/>
      <c r="AC18" s="11">
        <v>1940</v>
      </c>
      <c r="AD18" s="11"/>
      <c r="AE18" s="11"/>
      <c r="AF18" s="11"/>
      <c r="AG18" s="11"/>
      <c r="AH18" s="11"/>
      <c r="AI18" s="11">
        <v>142</v>
      </c>
      <c r="AJ18" s="11"/>
      <c r="AK18" s="11"/>
      <c r="AL18" s="11"/>
      <c r="AM18" s="11">
        <v>1005</v>
      </c>
      <c r="AN18" s="11"/>
      <c r="AO18" s="11"/>
      <c r="AP18" s="11">
        <v>114</v>
      </c>
      <c r="AQ18" s="11">
        <v>758</v>
      </c>
      <c r="AR18" s="11">
        <v>205</v>
      </c>
      <c r="AS18" s="11"/>
      <c r="AT18" s="20" t="str">
        <f>HYPERLINK("http://www.openstreetmap.org/?mlat=33.3568&amp;mlon=43.7842&amp;zoom=12#map=12/33.3568/43.7842","Maplink1")</f>
        <v>Maplink1</v>
      </c>
      <c r="AU18" s="20" t="str">
        <f>HYPERLINK("https://www.google.iq/maps/search/+33.3568,43.7842/@33.3568,43.7842,14z?hl=en","Maplink2")</f>
        <v>Maplink2</v>
      </c>
      <c r="AV18" s="20" t="str">
        <f>HYPERLINK("http://www.bing.com/maps/?lvl=14&amp;sty=h&amp;cp=33.3568~43.7842&amp;sp=point.33.3568_43.7842","Maplink3")</f>
        <v>Maplink3</v>
      </c>
    </row>
    <row r="19" spans="1:48" x14ac:dyDescent="0.25">
      <c r="A19" s="9">
        <v>179</v>
      </c>
      <c r="B19" s="10" t="s">
        <v>8</v>
      </c>
      <c r="C19" s="10" t="s">
        <v>94</v>
      </c>
      <c r="D19" s="10" t="s">
        <v>109</v>
      </c>
      <c r="E19" s="10" t="s">
        <v>110</v>
      </c>
      <c r="F19" s="10">
        <v>33.302100000000003</v>
      </c>
      <c r="G19" s="10">
        <v>43.806984999999997</v>
      </c>
      <c r="H19" s="11">
        <v>1573</v>
      </c>
      <c r="I19" s="11">
        <v>9438</v>
      </c>
      <c r="J19" s="11">
        <v>1175</v>
      </c>
      <c r="K19" s="11"/>
      <c r="L19" s="11">
        <v>228</v>
      </c>
      <c r="M19" s="11"/>
      <c r="N19" s="11"/>
      <c r="O19" s="11"/>
      <c r="P19" s="11"/>
      <c r="Q19" s="11"/>
      <c r="R19" s="11">
        <v>170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>
        <v>1503</v>
      </c>
      <c r="AD19" s="11"/>
      <c r="AE19" s="11"/>
      <c r="AF19" s="11"/>
      <c r="AG19" s="11"/>
      <c r="AH19" s="11"/>
      <c r="AI19" s="11">
        <v>70</v>
      </c>
      <c r="AJ19" s="11"/>
      <c r="AK19" s="11"/>
      <c r="AL19" s="11"/>
      <c r="AM19" s="11">
        <v>512</v>
      </c>
      <c r="AN19" s="11"/>
      <c r="AO19" s="11"/>
      <c r="AP19" s="11">
        <v>250</v>
      </c>
      <c r="AQ19" s="11">
        <v>293</v>
      </c>
      <c r="AR19" s="11">
        <v>518</v>
      </c>
      <c r="AS19" s="11"/>
      <c r="AT19" s="20" t="str">
        <f>HYPERLINK("http://www.openstreetmap.org/?mlat=33.3021&amp;mlon=43.807&amp;zoom=12#map=12/33.3021/43.807","Maplink1")</f>
        <v>Maplink1</v>
      </c>
      <c r="AU19" s="20" t="str">
        <f>HYPERLINK("https://www.google.iq/maps/search/+33.3021,43.807/@33.3021,43.807,14z?hl=en","Maplink2")</f>
        <v>Maplink2</v>
      </c>
      <c r="AV19" s="20" t="str">
        <f>HYPERLINK("http://www.bing.com/maps/?lvl=14&amp;sty=h&amp;cp=33.3021~43.807&amp;sp=point.33.3021_43.807","Maplink3")</f>
        <v>Maplink3</v>
      </c>
    </row>
    <row r="20" spans="1:48" x14ac:dyDescent="0.25">
      <c r="A20" s="9">
        <v>22705</v>
      </c>
      <c r="B20" s="10" t="s">
        <v>8</v>
      </c>
      <c r="C20" s="10" t="s">
        <v>94</v>
      </c>
      <c r="D20" s="10" t="s">
        <v>111</v>
      </c>
      <c r="E20" s="10" t="s">
        <v>112</v>
      </c>
      <c r="F20" s="10">
        <v>33.414319999999996</v>
      </c>
      <c r="G20" s="10">
        <v>43.617609999999999</v>
      </c>
      <c r="H20" s="11">
        <v>478</v>
      </c>
      <c r="I20" s="11">
        <v>2868</v>
      </c>
      <c r="J20" s="11">
        <v>423</v>
      </c>
      <c r="K20" s="11"/>
      <c r="L20" s="11">
        <v>55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>
        <v>478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>
        <v>423</v>
      </c>
      <c r="AN20" s="11"/>
      <c r="AO20" s="11"/>
      <c r="AP20" s="11">
        <v>55</v>
      </c>
      <c r="AQ20" s="11"/>
      <c r="AR20" s="11"/>
      <c r="AS20" s="11"/>
      <c r="AT20" s="20" t="str">
        <f>HYPERLINK("http://www.openstreetmap.org/?mlat=33.4143&amp;mlon=43.6176&amp;zoom=12#map=12/33.4143/43.6176","Maplink1")</f>
        <v>Maplink1</v>
      </c>
      <c r="AU20" s="20" t="str">
        <f>HYPERLINK("https://www.google.iq/maps/search/+33.4143,43.6176/@33.4143,43.6176,14z?hl=en","Maplink2")</f>
        <v>Maplink2</v>
      </c>
      <c r="AV20" s="20" t="str">
        <f>HYPERLINK("http://www.bing.com/maps/?lvl=14&amp;sty=h&amp;cp=33.4143~43.6176&amp;sp=point.33.4143_43.6176","Maplink3")</f>
        <v>Maplink3</v>
      </c>
    </row>
    <row r="21" spans="1:48" x14ac:dyDescent="0.25">
      <c r="A21" s="9">
        <v>21614</v>
      </c>
      <c r="B21" s="10" t="s">
        <v>8</v>
      </c>
      <c r="C21" s="10" t="s">
        <v>94</v>
      </c>
      <c r="D21" s="10" t="s">
        <v>113</v>
      </c>
      <c r="E21" s="10" t="s">
        <v>114</v>
      </c>
      <c r="F21" s="10">
        <v>33.424889999999998</v>
      </c>
      <c r="G21" s="10">
        <v>43.756590000000003</v>
      </c>
      <c r="H21" s="11">
        <v>462</v>
      </c>
      <c r="I21" s="11">
        <v>2772</v>
      </c>
      <c r="J21" s="11">
        <v>67</v>
      </c>
      <c r="K21" s="11"/>
      <c r="L21" s="11">
        <v>70</v>
      </c>
      <c r="M21" s="11"/>
      <c r="N21" s="11"/>
      <c r="O21" s="11"/>
      <c r="P21" s="11">
        <v>89</v>
      </c>
      <c r="Q21" s="11"/>
      <c r="R21" s="11">
        <v>236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>
        <v>462</v>
      </c>
      <c r="AD21" s="11"/>
      <c r="AE21" s="11"/>
      <c r="AF21" s="11"/>
      <c r="AG21" s="11"/>
      <c r="AH21" s="11"/>
      <c r="AI21" s="11"/>
      <c r="AJ21" s="11"/>
      <c r="AK21" s="11"/>
      <c r="AL21" s="11"/>
      <c r="AM21" s="11">
        <v>306</v>
      </c>
      <c r="AN21" s="11"/>
      <c r="AO21" s="11"/>
      <c r="AP21" s="11">
        <v>67</v>
      </c>
      <c r="AQ21" s="11">
        <v>89</v>
      </c>
      <c r="AR21" s="11"/>
      <c r="AS21" s="11"/>
      <c r="AT21" s="20" t="str">
        <f>HYPERLINK("http://www.openstreetmap.org/?mlat=33.4249&amp;mlon=43.7566&amp;zoom=12#map=12/33.4249/43.7566","Maplink1")</f>
        <v>Maplink1</v>
      </c>
      <c r="AU21" s="20" t="str">
        <f>HYPERLINK("https://www.google.iq/maps/search/+33.4249,43.7566/@33.4249,43.7566,14z?hl=en","Maplink2")</f>
        <v>Maplink2</v>
      </c>
      <c r="AV21" s="20" t="str">
        <f>HYPERLINK("http://www.bing.com/maps/?lvl=14&amp;sty=h&amp;cp=33.4249~43.7566&amp;sp=point.33.4249_43.7566","Maplink3")</f>
        <v>Maplink3</v>
      </c>
    </row>
    <row r="22" spans="1:48" x14ac:dyDescent="0.25">
      <c r="A22" s="9">
        <v>143</v>
      </c>
      <c r="B22" s="10" t="s">
        <v>8</v>
      </c>
      <c r="C22" s="10" t="s">
        <v>94</v>
      </c>
      <c r="D22" s="10" t="s">
        <v>115</v>
      </c>
      <c r="E22" s="10" t="s">
        <v>116</v>
      </c>
      <c r="F22" s="10">
        <v>33.386118000000003</v>
      </c>
      <c r="G22" s="10">
        <v>43.90437</v>
      </c>
      <c r="H22" s="11">
        <v>1904</v>
      </c>
      <c r="I22" s="11">
        <v>11424</v>
      </c>
      <c r="J22" s="11">
        <v>1328</v>
      </c>
      <c r="K22" s="11"/>
      <c r="L22" s="11">
        <v>493</v>
      </c>
      <c r="M22" s="11"/>
      <c r="N22" s="11"/>
      <c r="O22" s="11"/>
      <c r="P22" s="11">
        <v>83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>
        <v>1799</v>
      </c>
      <c r="AD22" s="11"/>
      <c r="AE22" s="11"/>
      <c r="AF22" s="11"/>
      <c r="AG22" s="11"/>
      <c r="AH22" s="11"/>
      <c r="AI22" s="11">
        <v>105</v>
      </c>
      <c r="AJ22" s="11"/>
      <c r="AK22" s="11"/>
      <c r="AL22" s="11"/>
      <c r="AM22" s="11">
        <v>469</v>
      </c>
      <c r="AN22" s="11">
        <v>160</v>
      </c>
      <c r="AO22" s="11"/>
      <c r="AP22" s="11">
        <v>313</v>
      </c>
      <c r="AQ22" s="11">
        <v>962</v>
      </c>
      <c r="AR22" s="11"/>
      <c r="AS22" s="11"/>
      <c r="AT22" s="20" t="str">
        <f>HYPERLINK("http://www.openstreetmap.org/?mlat=33.3861&amp;mlon=43.9044&amp;zoom=12#map=12/33.3861/43.9044","Maplink1")</f>
        <v>Maplink1</v>
      </c>
      <c r="AU22" s="20" t="str">
        <f>HYPERLINK("https://www.google.iq/maps/search/+33.3861,43.9044/@33.3861,43.9044,14z?hl=en","Maplink2")</f>
        <v>Maplink2</v>
      </c>
      <c r="AV22" s="20" t="str">
        <f>HYPERLINK("http://www.bing.com/maps/?lvl=14&amp;sty=h&amp;cp=33.3861~43.9044&amp;sp=point.33.3861_43.9044","Maplink3")</f>
        <v>Maplink3</v>
      </c>
    </row>
    <row r="23" spans="1:48" x14ac:dyDescent="0.25">
      <c r="A23" s="9">
        <v>142</v>
      </c>
      <c r="B23" s="10" t="s">
        <v>8</v>
      </c>
      <c r="C23" s="10" t="s">
        <v>94</v>
      </c>
      <c r="D23" s="10" t="s">
        <v>117</v>
      </c>
      <c r="E23" s="10" t="s">
        <v>118</v>
      </c>
      <c r="F23" s="10">
        <v>33.384627999999999</v>
      </c>
      <c r="G23" s="10">
        <v>43.876576999999997</v>
      </c>
      <c r="H23" s="11">
        <v>1948</v>
      </c>
      <c r="I23" s="11">
        <v>11688</v>
      </c>
      <c r="J23" s="11">
        <v>1517</v>
      </c>
      <c r="K23" s="11"/>
      <c r="L23" s="11">
        <v>359</v>
      </c>
      <c r="M23" s="11"/>
      <c r="N23" s="11"/>
      <c r="O23" s="11"/>
      <c r="P23" s="11">
        <v>72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>
        <v>1948</v>
      </c>
      <c r="AD23" s="11"/>
      <c r="AE23" s="11"/>
      <c r="AF23" s="11"/>
      <c r="AG23" s="11"/>
      <c r="AH23" s="11"/>
      <c r="AI23" s="11"/>
      <c r="AJ23" s="11"/>
      <c r="AK23" s="11"/>
      <c r="AL23" s="11"/>
      <c r="AM23" s="11">
        <v>124</v>
      </c>
      <c r="AN23" s="11">
        <v>235</v>
      </c>
      <c r="AO23" s="11"/>
      <c r="AP23" s="11">
        <v>72</v>
      </c>
      <c r="AQ23" s="11">
        <v>1517</v>
      </c>
      <c r="AR23" s="11"/>
      <c r="AS23" s="11"/>
      <c r="AT23" s="20" t="str">
        <f>HYPERLINK("http://www.openstreetmap.org/?mlat=33.3846&amp;mlon=43.8766&amp;zoom=12#map=12/33.3846/43.8766","Maplink1")</f>
        <v>Maplink1</v>
      </c>
      <c r="AU23" s="20" t="str">
        <f>HYPERLINK("https://www.google.iq/maps/search/+33.3846,43.8766/@33.3846,43.8766,14z?hl=en","Maplink2")</f>
        <v>Maplink2</v>
      </c>
      <c r="AV23" s="20" t="str">
        <f>HYPERLINK("http://www.bing.com/maps/?lvl=14&amp;sty=h&amp;cp=33.3846~43.8766&amp;sp=point.33.3846_43.8766","Maplink3")</f>
        <v>Maplink3</v>
      </c>
    </row>
    <row r="24" spans="1:48" x14ac:dyDescent="0.25">
      <c r="A24" s="9">
        <v>21556</v>
      </c>
      <c r="B24" s="10" t="s">
        <v>8</v>
      </c>
      <c r="C24" s="10" t="s">
        <v>94</v>
      </c>
      <c r="D24" s="10" t="s">
        <v>119</v>
      </c>
      <c r="E24" s="10" t="s">
        <v>120</v>
      </c>
      <c r="F24" s="10">
        <v>33.399209999999997</v>
      </c>
      <c r="G24" s="10">
        <v>43.718710000000002</v>
      </c>
      <c r="H24" s="11">
        <v>1135</v>
      </c>
      <c r="I24" s="11">
        <v>6810</v>
      </c>
      <c r="J24" s="11">
        <v>403</v>
      </c>
      <c r="K24" s="11"/>
      <c r="L24" s="11">
        <v>157</v>
      </c>
      <c r="M24" s="11"/>
      <c r="N24" s="11"/>
      <c r="O24" s="11"/>
      <c r="P24" s="11">
        <v>313</v>
      </c>
      <c r="Q24" s="11"/>
      <c r="R24" s="11">
        <v>262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>
        <v>1135</v>
      </c>
      <c r="AD24" s="11"/>
      <c r="AE24" s="11"/>
      <c r="AF24" s="11"/>
      <c r="AG24" s="11"/>
      <c r="AH24" s="11"/>
      <c r="AI24" s="11"/>
      <c r="AJ24" s="11"/>
      <c r="AK24" s="11"/>
      <c r="AL24" s="11"/>
      <c r="AM24" s="11">
        <v>389</v>
      </c>
      <c r="AN24" s="11"/>
      <c r="AO24" s="11"/>
      <c r="AP24" s="11">
        <v>237</v>
      </c>
      <c r="AQ24" s="11">
        <v>182</v>
      </c>
      <c r="AR24" s="11">
        <v>327</v>
      </c>
      <c r="AS24" s="11"/>
      <c r="AT24" s="20" t="str">
        <f>HYPERLINK("http://www.openstreetmap.org/?mlat=33.3992&amp;mlon=43.7187&amp;zoom=12#map=12/33.3992/43.7187","Maplink1")</f>
        <v>Maplink1</v>
      </c>
      <c r="AU24" s="20" t="str">
        <f>HYPERLINK("https://www.google.iq/maps/search/+33.3992,43.7187/@33.3992,43.7187,14z?hl=en","Maplink2")</f>
        <v>Maplink2</v>
      </c>
      <c r="AV24" s="20" t="str">
        <f>HYPERLINK("http://www.bing.com/maps/?lvl=14&amp;sty=h&amp;cp=33.3992~43.7187&amp;sp=point.33.3992_43.7187","Maplink3")</f>
        <v>Maplink3</v>
      </c>
    </row>
    <row r="25" spans="1:48" x14ac:dyDescent="0.25">
      <c r="A25" s="9">
        <v>169</v>
      </c>
      <c r="B25" s="10" t="s">
        <v>8</v>
      </c>
      <c r="C25" s="10" t="s">
        <v>94</v>
      </c>
      <c r="D25" s="10" t="s">
        <v>121</v>
      </c>
      <c r="E25" s="10" t="s">
        <v>122</v>
      </c>
      <c r="F25" s="10">
        <v>33.363309999999998</v>
      </c>
      <c r="G25" s="10">
        <v>43.794080000000001</v>
      </c>
      <c r="H25" s="11">
        <v>2782</v>
      </c>
      <c r="I25" s="11">
        <v>16692</v>
      </c>
      <c r="J25" s="11">
        <v>1994</v>
      </c>
      <c r="K25" s="11"/>
      <c r="L25" s="11">
        <v>350</v>
      </c>
      <c r="M25" s="11"/>
      <c r="N25" s="11"/>
      <c r="O25" s="11"/>
      <c r="P25" s="11">
        <v>320</v>
      </c>
      <c r="Q25" s="11"/>
      <c r="R25" s="11">
        <v>118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>
        <v>2627</v>
      </c>
      <c r="AD25" s="11"/>
      <c r="AE25" s="11"/>
      <c r="AF25" s="11"/>
      <c r="AG25" s="11"/>
      <c r="AH25" s="11"/>
      <c r="AI25" s="11">
        <v>155</v>
      </c>
      <c r="AJ25" s="11"/>
      <c r="AK25" s="11"/>
      <c r="AL25" s="11"/>
      <c r="AM25" s="11">
        <v>1382</v>
      </c>
      <c r="AN25" s="11"/>
      <c r="AO25" s="11"/>
      <c r="AP25" s="11">
        <v>68</v>
      </c>
      <c r="AQ25" s="11">
        <v>923</v>
      </c>
      <c r="AR25" s="11">
        <v>409</v>
      </c>
      <c r="AS25" s="11"/>
      <c r="AT25" s="20" t="str">
        <f>HYPERLINK("http://www.openstreetmap.org/?mlat=33.3633&amp;mlon=43.7941&amp;zoom=12#map=12/33.3633/43.7941","Maplink1")</f>
        <v>Maplink1</v>
      </c>
      <c r="AU25" s="20" t="str">
        <f>HYPERLINK("https://www.google.iq/maps/search/+33.3633,43.7941/@33.3633,43.7941,14z?hl=en","Maplink2")</f>
        <v>Maplink2</v>
      </c>
      <c r="AV25" s="20" t="str">
        <f>HYPERLINK("http://www.bing.com/maps/?lvl=14&amp;sty=h&amp;cp=33.3633~43.7941&amp;sp=point.33.3633_43.7941","Maplink3")</f>
        <v>Maplink3</v>
      </c>
    </row>
    <row r="26" spans="1:48" x14ac:dyDescent="0.25">
      <c r="A26" s="9">
        <v>22525</v>
      </c>
      <c r="B26" s="10" t="s">
        <v>8</v>
      </c>
      <c r="C26" s="10" t="s">
        <v>94</v>
      </c>
      <c r="D26" s="10" t="s">
        <v>123</v>
      </c>
      <c r="E26" s="10" t="s">
        <v>124</v>
      </c>
      <c r="F26" s="10">
        <v>33.397970000000001</v>
      </c>
      <c r="G26" s="10">
        <v>43.644350000000003</v>
      </c>
      <c r="H26" s="11">
        <v>408</v>
      </c>
      <c r="I26" s="11">
        <v>2448</v>
      </c>
      <c r="J26" s="11">
        <v>106</v>
      </c>
      <c r="K26" s="11"/>
      <c r="L26" s="11">
        <v>88</v>
      </c>
      <c r="M26" s="11"/>
      <c r="N26" s="11"/>
      <c r="O26" s="11"/>
      <c r="P26" s="11">
        <v>109</v>
      </c>
      <c r="Q26" s="11"/>
      <c r="R26" s="11">
        <v>105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>
        <v>408</v>
      </c>
      <c r="AD26" s="11"/>
      <c r="AE26" s="11"/>
      <c r="AF26" s="11"/>
      <c r="AG26" s="11"/>
      <c r="AH26" s="11"/>
      <c r="AI26" s="11"/>
      <c r="AJ26" s="11"/>
      <c r="AK26" s="11"/>
      <c r="AL26" s="11"/>
      <c r="AM26" s="11">
        <v>106</v>
      </c>
      <c r="AN26" s="11">
        <v>105</v>
      </c>
      <c r="AO26" s="11"/>
      <c r="AP26" s="11">
        <v>109</v>
      </c>
      <c r="AQ26" s="11">
        <v>88</v>
      </c>
      <c r="AR26" s="11"/>
      <c r="AS26" s="11"/>
      <c r="AT26" s="20" t="str">
        <f>HYPERLINK("http://www.openstreetmap.org/?mlat=33.398&amp;mlon=43.6444&amp;zoom=12#map=12/33.398/43.6444","Maplink1")</f>
        <v>Maplink1</v>
      </c>
      <c r="AU26" s="20" t="str">
        <f>HYPERLINK("https://www.google.iq/maps/search/+33.398,43.6444/@33.398,43.6444,14z?hl=en","Maplink2")</f>
        <v>Maplink2</v>
      </c>
      <c r="AV26" s="20" t="str">
        <f>HYPERLINK("http://www.bing.com/maps/?lvl=14&amp;sty=h&amp;cp=33.398~43.6444&amp;sp=point.33.398_43.6444","Maplink3")</f>
        <v>Maplink3</v>
      </c>
    </row>
    <row r="27" spans="1:48" x14ac:dyDescent="0.25">
      <c r="A27" s="9">
        <v>22524</v>
      </c>
      <c r="B27" s="10" t="s">
        <v>8</v>
      </c>
      <c r="C27" s="10" t="s">
        <v>94</v>
      </c>
      <c r="D27" s="10" t="s">
        <v>125</v>
      </c>
      <c r="E27" s="10" t="s">
        <v>126</v>
      </c>
      <c r="F27" s="10">
        <v>33.425609999999999</v>
      </c>
      <c r="G27" s="10">
        <v>43.719239999999999</v>
      </c>
      <c r="H27" s="11">
        <v>408</v>
      </c>
      <c r="I27" s="11">
        <v>2448</v>
      </c>
      <c r="J27" s="11">
        <v>135</v>
      </c>
      <c r="K27" s="11"/>
      <c r="L27" s="11">
        <v>153</v>
      </c>
      <c r="M27" s="11"/>
      <c r="N27" s="11"/>
      <c r="O27" s="11"/>
      <c r="P27" s="11">
        <v>100</v>
      </c>
      <c r="Q27" s="11"/>
      <c r="R27" s="11">
        <v>20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>
        <v>408</v>
      </c>
      <c r="AD27" s="11"/>
      <c r="AE27" s="11"/>
      <c r="AF27" s="11"/>
      <c r="AG27" s="11"/>
      <c r="AH27" s="11"/>
      <c r="AI27" s="11"/>
      <c r="AJ27" s="11"/>
      <c r="AK27" s="11"/>
      <c r="AL27" s="11"/>
      <c r="AM27" s="11">
        <v>262</v>
      </c>
      <c r="AN27" s="11"/>
      <c r="AO27" s="11"/>
      <c r="AP27" s="11">
        <v>126</v>
      </c>
      <c r="AQ27" s="11">
        <v>20</v>
      </c>
      <c r="AR27" s="11"/>
      <c r="AS27" s="11"/>
      <c r="AT27" s="20" t="str">
        <f>HYPERLINK("http://www.openstreetmap.org/?mlat=33.4256&amp;mlon=43.7192&amp;zoom=12#map=12/33.4256/43.7192","Maplink1")</f>
        <v>Maplink1</v>
      </c>
      <c r="AU27" s="20" t="str">
        <f>HYPERLINK("https://www.google.iq/maps/search/+33.4256,43.7192/@33.4256,43.7192,14z?hl=en","Maplink2")</f>
        <v>Maplink2</v>
      </c>
      <c r="AV27" s="20" t="str">
        <f>HYPERLINK("http://www.bing.com/maps/?lvl=14&amp;sty=h&amp;cp=33.4256~43.7192&amp;sp=point.33.4256_43.7192","Maplink3")</f>
        <v>Maplink3</v>
      </c>
    </row>
    <row r="28" spans="1:48" x14ac:dyDescent="0.25">
      <c r="A28" s="9">
        <v>319</v>
      </c>
      <c r="B28" s="10" t="s">
        <v>8</v>
      </c>
      <c r="C28" s="10" t="s">
        <v>94</v>
      </c>
      <c r="D28" s="10" t="s">
        <v>127</v>
      </c>
      <c r="E28" s="10" t="s">
        <v>128</v>
      </c>
      <c r="F28" s="10">
        <v>33.336509999999997</v>
      </c>
      <c r="G28" s="10">
        <v>43.749310000000001</v>
      </c>
      <c r="H28" s="11">
        <v>2730</v>
      </c>
      <c r="I28" s="11">
        <v>16380</v>
      </c>
      <c r="J28" s="11">
        <v>2219</v>
      </c>
      <c r="K28" s="11"/>
      <c r="L28" s="11">
        <v>220</v>
      </c>
      <c r="M28" s="11"/>
      <c r="N28" s="11"/>
      <c r="O28" s="11"/>
      <c r="P28" s="11">
        <v>210</v>
      </c>
      <c r="Q28" s="11"/>
      <c r="R28" s="11">
        <v>81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>
        <v>2670</v>
      </c>
      <c r="AD28" s="11"/>
      <c r="AE28" s="11"/>
      <c r="AF28" s="11"/>
      <c r="AG28" s="11"/>
      <c r="AH28" s="11"/>
      <c r="AI28" s="11">
        <v>60</v>
      </c>
      <c r="AJ28" s="11"/>
      <c r="AK28" s="11"/>
      <c r="AL28" s="11"/>
      <c r="AM28" s="11">
        <v>1352</v>
      </c>
      <c r="AN28" s="11">
        <v>31</v>
      </c>
      <c r="AO28" s="11"/>
      <c r="AP28" s="11">
        <v>199</v>
      </c>
      <c r="AQ28" s="11">
        <v>705</v>
      </c>
      <c r="AR28" s="11">
        <v>443</v>
      </c>
      <c r="AS28" s="11"/>
      <c r="AT28" s="20" t="str">
        <f>HYPERLINK("http://www.openstreetmap.org/?mlat=33.3365&amp;mlon=43.7493&amp;zoom=12#map=12/33.3365/43.7493","Maplink1")</f>
        <v>Maplink1</v>
      </c>
      <c r="AU28" s="20" t="str">
        <f>HYPERLINK("https://www.google.iq/maps/search/+33.3365,43.7493/@33.3365,43.7493,14z?hl=en","Maplink2")</f>
        <v>Maplink2</v>
      </c>
      <c r="AV28" s="20" t="str">
        <f>HYPERLINK("http://www.bing.com/maps/?lvl=14&amp;sty=h&amp;cp=33.3365~43.7493&amp;sp=point.33.3365_43.7493","Maplink3")</f>
        <v>Maplink3</v>
      </c>
    </row>
    <row r="29" spans="1:48" x14ac:dyDescent="0.25">
      <c r="A29" s="9">
        <v>207</v>
      </c>
      <c r="B29" s="10" t="s">
        <v>8</v>
      </c>
      <c r="C29" s="10" t="s">
        <v>94</v>
      </c>
      <c r="D29" s="10" t="s">
        <v>129</v>
      </c>
      <c r="E29" s="10" t="s">
        <v>130</v>
      </c>
      <c r="F29" s="10">
        <v>33.362969999999997</v>
      </c>
      <c r="G29" s="10">
        <v>43.756770000000003</v>
      </c>
      <c r="H29" s="11">
        <v>292</v>
      </c>
      <c r="I29" s="11">
        <v>1752</v>
      </c>
      <c r="J29" s="11">
        <v>232</v>
      </c>
      <c r="K29" s="11"/>
      <c r="L29" s="11"/>
      <c r="M29" s="11"/>
      <c r="N29" s="11"/>
      <c r="O29" s="11"/>
      <c r="P29" s="11"/>
      <c r="Q29" s="11"/>
      <c r="R29" s="11">
        <v>60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>
        <v>292</v>
      </c>
      <c r="AD29" s="11"/>
      <c r="AE29" s="11"/>
      <c r="AF29" s="11"/>
      <c r="AG29" s="11"/>
      <c r="AH29" s="11"/>
      <c r="AI29" s="11"/>
      <c r="AJ29" s="11"/>
      <c r="AK29" s="11"/>
      <c r="AL29" s="11"/>
      <c r="AM29" s="11">
        <v>127</v>
      </c>
      <c r="AN29" s="11"/>
      <c r="AO29" s="11"/>
      <c r="AP29" s="11"/>
      <c r="AQ29" s="11">
        <v>165</v>
      </c>
      <c r="AR29" s="11"/>
      <c r="AS29" s="11"/>
      <c r="AT29" s="20" t="str">
        <f>HYPERLINK("http://www.openstreetmap.org/?mlat=33.363&amp;mlon=43.7568&amp;zoom=12#map=12/33.363/43.7568","Maplink1")</f>
        <v>Maplink1</v>
      </c>
      <c r="AU29" s="20" t="str">
        <f>HYPERLINK("https://www.google.iq/maps/search/+33.363,43.7568/@33.363,43.7568,14z?hl=en","Maplink2")</f>
        <v>Maplink2</v>
      </c>
      <c r="AV29" s="20" t="str">
        <f>HYPERLINK("http://www.bing.com/maps/?lvl=14&amp;sty=h&amp;cp=33.363~43.7568&amp;sp=point.33.363_43.7568","Maplink3")</f>
        <v>Maplink3</v>
      </c>
    </row>
    <row r="30" spans="1:48" x14ac:dyDescent="0.25">
      <c r="A30" s="9">
        <v>176</v>
      </c>
      <c r="B30" s="10" t="s">
        <v>8</v>
      </c>
      <c r="C30" s="10" t="s">
        <v>94</v>
      </c>
      <c r="D30" s="10" t="s">
        <v>131</v>
      </c>
      <c r="E30" s="10" t="s">
        <v>132</v>
      </c>
      <c r="F30" s="10">
        <v>33.347659999999998</v>
      </c>
      <c r="G30" s="10">
        <v>43.76473</v>
      </c>
      <c r="H30" s="11">
        <v>2580</v>
      </c>
      <c r="I30" s="11">
        <v>15480</v>
      </c>
      <c r="J30" s="11">
        <v>1379</v>
      </c>
      <c r="K30" s="11"/>
      <c r="L30" s="11">
        <v>267</v>
      </c>
      <c r="M30" s="11"/>
      <c r="N30" s="11"/>
      <c r="O30" s="11"/>
      <c r="P30" s="11">
        <v>400</v>
      </c>
      <c r="Q30" s="11"/>
      <c r="R30" s="11">
        <v>114</v>
      </c>
      <c r="S30" s="11"/>
      <c r="T30" s="11"/>
      <c r="U30" s="11"/>
      <c r="V30" s="11"/>
      <c r="W30" s="11"/>
      <c r="X30" s="11"/>
      <c r="Y30" s="11">
        <v>420</v>
      </c>
      <c r="Z30" s="11"/>
      <c r="AA30" s="11"/>
      <c r="AB30" s="11"/>
      <c r="AC30" s="11">
        <v>2544</v>
      </c>
      <c r="AD30" s="11"/>
      <c r="AE30" s="11"/>
      <c r="AF30" s="11"/>
      <c r="AG30" s="11"/>
      <c r="AH30" s="11"/>
      <c r="AI30" s="11">
        <v>36</v>
      </c>
      <c r="AJ30" s="11"/>
      <c r="AK30" s="11"/>
      <c r="AL30" s="11"/>
      <c r="AM30" s="11">
        <v>1313</v>
      </c>
      <c r="AN30" s="11">
        <v>173</v>
      </c>
      <c r="AO30" s="11"/>
      <c r="AP30" s="11">
        <v>210</v>
      </c>
      <c r="AQ30" s="11">
        <v>456</v>
      </c>
      <c r="AR30" s="11">
        <v>428</v>
      </c>
      <c r="AS30" s="11"/>
      <c r="AT30" s="20" t="str">
        <f>HYPERLINK("http://www.openstreetmap.org/?mlat=33.3477&amp;mlon=43.7647&amp;zoom=12#map=12/33.3477/43.7647","Maplink1")</f>
        <v>Maplink1</v>
      </c>
      <c r="AU30" s="20" t="str">
        <f>HYPERLINK("https://www.google.iq/maps/search/+33.3477,43.7647/@33.3477,43.7647,14z?hl=en","Maplink2")</f>
        <v>Maplink2</v>
      </c>
      <c r="AV30" s="20" t="str">
        <f>HYPERLINK("http://www.bing.com/maps/?lvl=14&amp;sty=h&amp;cp=33.3477~43.7647&amp;sp=point.33.3477_43.7647","Maplink3")</f>
        <v>Maplink3</v>
      </c>
    </row>
    <row r="31" spans="1:48" x14ac:dyDescent="0.25">
      <c r="A31" s="9">
        <v>177</v>
      </c>
      <c r="B31" s="10" t="s">
        <v>8</v>
      </c>
      <c r="C31" s="10" t="s">
        <v>94</v>
      </c>
      <c r="D31" s="10" t="s">
        <v>133</v>
      </c>
      <c r="E31" s="10" t="s">
        <v>134</v>
      </c>
      <c r="F31" s="10">
        <v>33.352609999999999</v>
      </c>
      <c r="G31" s="10">
        <v>43.765419999999999</v>
      </c>
      <c r="H31" s="11">
        <v>2052</v>
      </c>
      <c r="I31" s="11">
        <v>12312</v>
      </c>
      <c r="J31" s="11">
        <v>1365</v>
      </c>
      <c r="K31" s="11"/>
      <c r="L31" s="11">
        <v>231</v>
      </c>
      <c r="M31" s="11"/>
      <c r="N31" s="11"/>
      <c r="O31" s="11"/>
      <c r="P31" s="11">
        <v>210</v>
      </c>
      <c r="Q31" s="11"/>
      <c r="R31" s="11">
        <v>56</v>
      </c>
      <c r="S31" s="11"/>
      <c r="T31" s="11"/>
      <c r="U31" s="11"/>
      <c r="V31" s="11"/>
      <c r="W31" s="11"/>
      <c r="X31" s="11"/>
      <c r="Y31" s="11">
        <v>190</v>
      </c>
      <c r="Z31" s="11"/>
      <c r="AA31" s="11"/>
      <c r="AB31" s="11"/>
      <c r="AC31" s="11">
        <v>2052</v>
      </c>
      <c r="AD31" s="11"/>
      <c r="AE31" s="11"/>
      <c r="AF31" s="11"/>
      <c r="AG31" s="11"/>
      <c r="AH31" s="11"/>
      <c r="AI31" s="11"/>
      <c r="AJ31" s="11"/>
      <c r="AK31" s="11"/>
      <c r="AL31" s="11"/>
      <c r="AM31" s="11">
        <v>1066</v>
      </c>
      <c r="AN31" s="11"/>
      <c r="AO31" s="11"/>
      <c r="AP31" s="11">
        <v>106</v>
      </c>
      <c r="AQ31" s="11">
        <v>784</v>
      </c>
      <c r="AR31" s="11">
        <v>96</v>
      </c>
      <c r="AS31" s="11"/>
      <c r="AT31" s="20" t="str">
        <f>HYPERLINK("http://www.openstreetmap.org/?mlat=33.3526&amp;mlon=43.7654&amp;zoom=12#map=12/33.3526/43.7654","Maplink1")</f>
        <v>Maplink1</v>
      </c>
      <c r="AU31" s="20" t="str">
        <f>HYPERLINK("https://www.google.iq/maps/search/+33.3526,43.7654/@33.3526,43.7654,14z?hl=en","Maplink2")</f>
        <v>Maplink2</v>
      </c>
      <c r="AV31" s="20" t="str">
        <f>HYPERLINK("http://www.bing.com/maps/?lvl=14&amp;sty=h&amp;cp=33.3526~43.7654&amp;sp=point.33.3526_43.7654","Maplink3")</f>
        <v>Maplink3</v>
      </c>
    </row>
    <row r="32" spans="1:48" x14ac:dyDescent="0.25">
      <c r="A32" s="9">
        <v>31878</v>
      </c>
      <c r="B32" s="10" t="s">
        <v>8</v>
      </c>
      <c r="C32" s="10" t="s">
        <v>94</v>
      </c>
      <c r="D32" s="10" t="s">
        <v>135</v>
      </c>
      <c r="E32" s="10" t="s">
        <v>136</v>
      </c>
      <c r="F32" s="10">
        <v>33.651864000000003</v>
      </c>
      <c r="G32" s="10">
        <v>43.693095999999997</v>
      </c>
      <c r="H32" s="11">
        <v>240</v>
      </c>
      <c r="I32" s="11">
        <v>1440</v>
      </c>
      <c r="J32" s="11"/>
      <c r="K32" s="11"/>
      <c r="L32" s="11">
        <v>90</v>
      </c>
      <c r="M32" s="11"/>
      <c r="N32" s="11"/>
      <c r="O32" s="11"/>
      <c r="P32" s="11">
        <v>150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>
        <v>240</v>
      </c>
      <c r="AD32" s="11"/>
      <c r="AE32" s="11"/>
      <c r="AF32" s="11"/>
      <c r="AG32" s="11"/>
      <c r="AH32" s="11"/>
      <c r="AI32" s="11"/>
      <c r="AJ32" s="11"/>
      <c r="AK32" s="11"/>
      <c r="AL32" s="11"/>
      <c r="AM32" s="11">
        <v>90</v>
      </c>
      <c r="AN32" s="11"/>
      <c r="AO32" s="11"/>
      <c r="AP32" s="11"/>
      <c r="AQ32" s="11">
        <v>150</v>
      </c>
      <c r="AR32" s="11"/>
      <c r="AS32" s="11"/>
      <c r="AT32" s="20" t="str">
        <f>HYPERLINK("http://www.openstreetmap.org/?mlat=33.6519&amp;mlon=43.6931&amp;zoom=12#map=12/33.6519/43.6931","Maplink1")</f>
        <v>Maplink1</v>
      </c>
      <c r="AU32" s="20" t="str">
        <f>HYPERLINK("https://www.google.iq/maps/search/+33.6519,43.6931/@33.6519,43.6931,14z?hl=en","Maplink2")</f>
        <v>Maplink2</v>
      </c>
      <c r="AV32" s="20" t="str">
        <f>HYPERLINK("http://www.bing.com/maps/?lvl=14&amp;sty=h&amp;cp=33.6519~43.6931&amp;sp=point.33.6519_43.6931","Maplink3")</f>
        <v>Maplink3</v>
      </c>
    </row>
    <row r="33" spans="1:48" x14ac:dyDescent="0.25">
      <c r="A33" s="9">
        <v>31877</v>
      </c>
      <c r="B33" s="10" t="s">
        <v>8</v>
      </c>
      <c r="C33" s="10" t="s">
        <v>94</v>
      </c>
      <c r="D33" s="10" t="s">
        <v>137</v>
      </c>
      <c r="E33" s="10" t="s">
        <v>138</v>
      </c>
      <c r="F33" s="10">
        <v>33.163539999999998</v>
      </c>
      <c r="G33" s="10">
        <v>43.864579999999997</v>
      </c>
      <c r="H33" s="11">
        <v>274</v>
      </c>
      <c r="I33" s="11">
        <v>1644</v>
      </c>
      <c r="J33" s="11"/>
      <c r="K33" s="11"/>
      <c r="L33" s="11">
        <v>99</v>
      </c>
      <c r="M33" s="11"/>
      <c r="N33" s="11"/>
      <c r="O33" s="11"/>
      <c r="P33" s="11"/>
      <c r="Q33" s="11"/>
      <c r="R33" s="11">
        <v>175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>
        <v>274</v>
      </c>
      <c r="AD33" s="11"/>
      <c r="AE33" s="11"/>
      <c r="AF33" s="11"/>
      <c r="AG33" s="11"/>
      <c r="AH33" s="11"/>
      <c r="AI33" s="11"/>
      <c r="AJ33" s="11"/>
      <c r="AK33" s="11"/>
      <c r="AL33" s="11"/>
      <c r="AM33" s="11">
        <v>99</v>
      </c>
      <c r="AN33" s="11"/>
      <c r="AO33" s="11"/>
      <c r="AP33" s="11">
        <v>175</v>
      </c>
      <c r="AQ33" s="11"/>
      <c r="AR33" s="11"/>
      <c r="AS33" s="11"/>
      <c r="AT33" s="20" t="str">
        <f>HYPERLINK("http://www.openstreetmap.org/?mlat=33.1635&amp;mlon=43.8646&amp;zoom=12#map=12/33.1635/43.8646","Maplink1")</f>
        <v>Maplink1</v>
      </c>
      <c r="AU33" s="20" t="str">
        <f>HYPERLINK("https://www.google.iq/maps/search/+33.1635,43.8646/@33.1635,43.8646,14z?hl=en","Maplink2")</f>
        <v>Maplink2</v>
      </c>
      <c r="AV33" s="20" t="str">
        <f>HYPERLINK("http://www.bing.com/maps/?lvl=14&amp;sty=h&amp;cp=33.1635~43.8646&amp;sp=point.33.1635_43.8646","Maplink3")</f>
        <v>Maplink3</v>
      </c>
    </row>
    <row r="34" spans="1:48" x14ac:dyDescent="0.25">
      <c r="A34" s="9">
        <v>173</v>
      </c>
      <c r="B34" s="10" t="s">
        <v>8</v>
      </c>
      <c r="C34" s="10" t="s">
        <v>94</v>
      </c>
      <c r="D34" s="10" t="s">
        <v>139</v>
      </c>
      <c r="E34" s="10" t="s">
        <v>140</v>
      </c>
      <c r="F34" s="10">
        <v>33.353520000000003</v>
      </c>
      <c r="G34" s="10">
        <v>43.77534</v>
      </c>
      <c r="H34" s="11">
        <v>2057</v>
      </c>
      <c r="I34" s="11">
        <v>12342</v>
      </c>
      <c r="J34" s="11">
        <v>1090</v>
      </c>
      <c r="K34" s="11"/>
      <c r="L34" s="11"/>
      <c r="M34" s="11"/>
      <c r="N34" s="11"/>
      <c r="O34" s="11"/>
      <c r="P34" s="11">
        <v>625</v>
      </c>
      <c r="Q34" s="11"/>
      <c r="R34" s="11">
        <v>132</v>
      </c>
      <c r="S34" s="11"/>
      <c r="T34" s="11"/>
      <c r="U34" s="11"/>
      <c r="V34" s="11"/>
      <c r="W34" s="11"/>
      <c r="X34" s="11"/>
      <c r="Y34" s="11">
        <v>210</v>
      </c>
      <c r="Z34" s="11"/>
      <c r="AA34" s="11"/>
      <c r="AB34" s="11"/>
      <c r="AC34" s="11">
        <v>1972</v>
      </c>
      <c r="AD34" s="11"/>
      <c r="AE34" s="11"/>
      <c r="AF34" s="11"/>
      <c r="AG34" s="11"/>
      <c r="AH34" s="11"/>
      <c r="AI34" s="11">
        <v>85</v>
      </c>
      <c r="AJ34" s="11"/>
      <c r="AK34" s="11"/>
      <c r="AL34" s="11"/>
      <c r="AM34" s="11">
        <v>749</v>
      </c>
      <c r="AN34" s="11">
        <v>505</v>
      </c>
      <c r="AO34" s="11"/>
      <c r="AP34" s="11">
        <v>245</v>
      </c>
      <c r="AQ34" s="11">
        <v>408</v>
      </c>
      <c r="AR34" s="11">
        <v>150</v>
      </c>
      <c r="AS34" s="11"/>
      <c r="AT34" s="20" t="str">
        <f>HYPERLINK("http://www.openstreetmap.org/?mlat=33.3535&amp;mlon=43.7753&amp;zoom=12#map=12/33.3535/43.7753","Maplink1")</f>
        <v>Maplink1</v>
      </c>
      <c r="AU34" s="20" t="str">
        <f>HYPERLINK("https://www.google.iq/maps/search/+33.3535,43.7753/@33.3535,43.7753,14z?hl=en","Maplink2")</f>
        <v>Maplink2</v>
      </c>
      <c r="AV34" s="20" t="str">
        <f>HYPERLINK("http://www.bing.com/maps/?lvl=14&amp;sty=h&amp;cp=33.3535~43.7753&amp;sp=point.33.3535_43.7753","Maplink3")</f>
        <v>Maplink3</v>
      </c>
    </row>
    <row r="35" spans="1:48" x14ac:dyDescent="0.25">
      <c r="A35" s="9">
        <v>299</v>
      </c>
      <c r="B35" s="10" t="s">
        <v>8</v>
      </c>
      <c r="C35" s="10" t="s">
        <v>94</v>
      </c>
      <c r="D35" s="10" t="s">
        <v>141</v>
      </c>
      <c r="E35" s="10" t="s">
        <v>142</v>
      </c>
      <c r="F35" s="10">
        <v>33.362459999999999</v>
      </c>
      <c r="G35" s="10">
        <v>43.763039999999997</v>
      </c>
      <c r="H35" s="11">
        <v>2385</v>
      </c>
      <c r="I35" s="11">
        <v>14310</v>
      </c>
      <c r="J35" s="11">
        <v>1471</v>
      </c>
      <c r="K35" s="11"/>
      <c r="L35" s="11">
        <v>251</v>
      </c>
      <c r="M35" s="11"/>
      <c r="N35" s="11"/>
      <c r="O35" s="11"/>
      <c r="P35" s="11">
        <v>207</v>
      </c>
      <c r="Q35" s="11"/>
      <c r="R35" s="11">
        <v>198</v>
      </c>
      <c r="S35" s="11"/>
      <c r="T35" s="11"/>
      <c r="U35" s="11"/>
      <c r="V35" s="11"/>
      <c r="W35" s="11"/>
      <c r="X35" s="11"/>
      <c r="Y35" s="11">
        <v>258</v>
      </c>
      <c r="Z35" s="11"/>
      <c r="AA35" s="11"/>
      <c r="AB35" s="11"/>
      <c r="AC35" s="11">
        <v>2312</v>
      </c>
      <c r="AD35" s="11"/>
      <c r="AE35" s="11"/>
      <c r="AF35" s="11"/>
      <c r="AG35" s="11"/>
      <c r="AH35" s="11"/>
      <c r="AI35" s="11">
        <v>73</v>
      </c>
      <c r="AJ35" s="11"/>
      <c r="AK35" s="11"/>
      <c r="AL35" s="11"/>
      <c r="AM35" s="11">
        <v>1256</v>
      </c>
      <c r="AN35" s="11">
        <v>146</v>
      </c>
      <c r="AO35" s="11"/>
      <c r="AP35" s="11">
        <v>78</v>
      </c>
      <c r="AQ35" s="11">
        <v>640</v>
      </c>
      <c r="AR35" s="11">
        <v>265</v>
      </c>
      <c r="AS35" s="11"/>
      <c r="AT35" s="20" t="str">
        <f>HYPERLINK("http://www.openstreetmap.org/?mlat=33.3625&amp;mlon=43.763&amp;zoom=12#map=12/33.3625/43.763","Maplink1")</f>
        <v>Maplink1</v>
      </c>
      <c r="AU35" s="20" t="str">
        <f>HYPERLINK("https://www.google.iq/maps/search/+33.3625,43.763/@33.3625,43.763,14z?hl=en","Maplink2")</f>
        <v>Maplink2</v>
      </c>
      <c r="AV35" s="20" t="str">
        <f>HYPERLINK("http://www.bing.com/maps/?lvl=14&amp;sty=h&amp;cp=33.3625~43.763&amp;sp=point.33.3625_43.763","Maplink3")</f>
        <v>Maplink3</v>
      </c>
    </row>
    <row r="36" spans="1:48" x14ac:dyDescent="0.25">
      <c r="A36" s="9">
        <v>31881</v>
      </c>
      <c r="B36" s="10" t="s">
        <v>8</v>
      </c>
      <c r="C36" s="10" t="s">
        <v>94</v>
      </c>
      <c r="D36" s="10" t="s">
        <v>143</v>
      </c>
      <c r="E36" s="10" t="s">
        <v>144</v>
      </c>
      <c r="F36" s="10">
        <v>33.415488000000003</v>
      </c>
      <c r="G36" s="10">
        <v>43.938712000000002</v>
      </c>
      <c r="H36" s="11">
        <v>221</v>
      </c>
      <c r="I36" s="11">
        <v>1326</v>
      </c>
      <c r="J36" s="11">
        <v>55</v>
      </c>
      <c r="K36" s="11"/>
      <c r="L36" s="11">
        <v>166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>
        <v>221</v>
      </c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>
        <v>166</v>
      </c>
      <c r="AQ36" s="11">
        <v>55</v>
      </c>
      <c r="AR36" s="11"/>
      <c r="AS36" s="11"/>
      <c r="AT36" s="20" t="str">
        <f>HYPERLINK("http://www.openstreetmap.org/?mlat=33.4155&amp;mlon=43.9387&amp;zoom=12#map=12/33.4155/43.9387","Maplink1")</f>
        <v>Maplink1</v>
      </c>
      <c r="AU36" s="20" t="str">
        <f>HYPERLINK("https://www.google.iq/maps/search/+33.4155,43.9387/@33.4155,43.9387,14z?hl=en","Maplink2")</f>
        <v>Maplink2</v>
      </c>
      <c r="AV36" s="20" t="str">
        <f>HYPERLINK("http://www.bing.com/maps/?lvl=14&amp;sty=h&amp;cp=33.4155~43.9387&amp;sp=point.33.4155_43.9387","Maplink3")</f>
        <v>Maplink3</v>
      </c>
    </row>
    <row r="37" spans="1:48" x14ac:dyDescent="0.25">
      <c r="A37" s="9">
        <v>178</v>
      </c>
      <c r="B37" s="10" t="s">
        <v>8</v>
      </c>
      <c r="C37" s="10" t="s">
        <v>94</v>
      </c>
      <c r="D37" s="10" t="s">
        <v>145</v>
      </c>
      <c r="E37" s="10" t="s">
        <v>146</v>
      </c>
      <c r="F37" s="10">
        <v>33.355319999999999</v>
      </c>
      <c r="G37" s="10">
        <v>43.764240000000001</v>
      </c>
      <c r="H37" s="11">
        <v>1859</v>
      </c>
      <c r="I37" s="11">
        <v>11154</v>
      </c>
      <c r="J37" s="11">
        <v>1173</v>
      </c>
      <c r="K37" s="11"/>
      <c r="L37" s="11">
        <v>240</v>
      </c>
      <c r="M37" s="11"/>
      <c r="N37" s="11"/>
      <c r="O37" s="11"/>
      <c r="P37" s="11">
        <v>340</v>
      </c>
      <c r="Q37" s="11"/>
      <c r="R37" s="11">
        <v>106</v>
      </c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>
        <v>1774</v>
      </c>
      <c r="AD37" s="11"/>
      <c r="AE37" s="11"/>
      <c r="AF37" s="11"/>
      <c r="AG37" s="11"/>
      <c r="AH37" s="11"/>
      <c r="AI37" s="11">
        <v>85</v>
      </c>
      <c r="AJ37" s="11"/>
      <c r="AK37" s="11"/>
      <c r="AL37" s="11"/>
      <c r="AM37" s="11">
        <v>941</v>
      </c>
      <c r="AN37" s="11"/>
      <c r="AO37" s="11"/>
      <c r="AP37" s="11">
        <v>243</v>
      </c>
      <c r="AQ37" s="11">
        <v>140</v>
      </c>
      <c r="AR37" s="11">
        <v>535</v>
      </c>
      <c r="AS37" s="11"/>
      <c r="AT37" s="20" t="str">
        <f>HYPERLINK("http://www.openstreetmap.org/?mlat=33.3553&amp;mlon=43.7642&amp;zoom=12#map=12/33.3553/43.7642","Maplink1")</f>
        <v>Maplink1</v>
      </c>
      <c r="AU37" s="20" t="str">
        <f>HYPERLINK("https://www.google.iq/maps/search/+33.3553,43.7642/@33.3553,43.7642,14z?hl=en","Maplink2")</f>
        <v>Maplink2</v>
      </c>
      <c r="AV37" s="20" t="str">
        <f>HYPERLINK("http://www.bing.com/maps/?lvl=14&amp;sty=h&amp;cp=33.3553~43.7642&amp;sp=point.33.3553_43.7642","Maplink3")</f>
        <v>Maplink3</v>
      </c>
    </row>
    <row r="38" spans="1:48" x14ac:dyDescent="0.25">
      <c r="A38" s="9">
        <v>148</v>
      </c>
      <c r="B38" s="10" t="s">
        <v>8</v>
      </c>
      <c r="C38" s="10" t="s">
        <v>94</v>
      </c>
      <c r="D38" s="10" t="s">
        <v>147</v>
      </c>
      <c r="E38" s="10" t="s">
        <v>148</v>
      </c>
      <c r="F38" s="10">
        <v>33.355879999999999</v>
      </c>
      <c r="G38" s="10">
        <v>43.780320000000003</v>
      </c>
      <c r="H38" s="11">
        <v>2017</v>
      </c>
      <c r="I38" s="11">
        <v>12102</v>
      </c>
      <c r="J38" s="11">
        <v>1205</v>
      </c>
      <c r="K38" s="11"/>
      <c r="L38" s="11">
        <v>203</v>
      </c>
      <c r="M38" s="11"/>
      <c r="N38" s="11"/>
      <c r="O38" s="11"/>
      <c r="P38" s="11">
        <v>269</v>
      </c>
      <c r="Q38" s="11"/>
      <c r="R38" s="11">
        <v>200</v>
      </c>
      <c r="S38" s="11"/>
      <c r="T38" s="11"/>
      <c r="U38" s="11"/>
      <c r="V38" s="11"/>
      <c r="W38" s="11"/>
      <c r="X38" s="11"/>
      <c r="Y38" s="11">
        <v>140</v>
      </c>
      <c r="Z38" s="11"/>
      <c r="AA38" s="11"/>
      <c r="AB38" s="11"/>
      <c r="AC38" s="11">
        <v>2017</v>
      </c>
      <c r="AD38" s="11"/>
      <c r="AE38" s="11"/>
      <c r="AF38" s="11"/>
      <c r="AG38" s="11"/>
      <c r="AH38" s="11"/>
      <c r="AI38" s="11"/>
      <c r="AJ38" s="11"/>
      <c r="AK38" s="11"/>
      <c r="AL38" s="11"/>
      <c r="AM38" s="11">
        <v>1242</v>
      </c>
      <c r="AN38" s="11"/>
      <c r="AO38" s="11"/>
      <c r="AP38" s="11">
        <v>97</v>
      </c>
      <c r="AQ38" s="11">
        <v>434</v>
      </c>
      <c r="AR38" s="11">
        <v>244</v>
      </c>
      <c r="AS38" s="11"/>
      <c r="AT38" s="20" t="str">
        <f>HYPERLINK("http://www.openstreetmap.org/?mlat=33.3559&amp;mlon=43.7803&amp;zoom=12#map=12/33.3559/43.7803","Maplink1")</f>
        <v>Maplink1</v>
      </c>
      <c r="AU38" s="20" t="str">
        <f>HYPERLINK("https://www.google.iq/maps/search/+33.3559,43.7803/@33.3559,43.7803,14z?hl=en","Maplink2")</f>
        <v>Maplink2</v>
      </c>
      <c r="AV38" s="20" t="str">
        <f>HYPERLINK("http://www.bing.com/maps/?lvl=14&amp;sty=h&amp;cp=33.3559~43.7803&amp;sp=point.33.3559_43.7803","Maplink3")</f>
        <v>Maplink3</v>
      </c>
    </row>
    <row r="39" spans="1:48" x14ac:dyDescent="0.25">
      <c r="A39" s="9">
        <v>21615</v>
      </c>
      <c r="B39" s="10" t="s">
        <v>8</v>
      </c>
      <c r="C39" s="10" t="s">
        <v>94</v>
      </c>
      <c r="D39" s="10" t="s">
        <v>149</v>
      </c>
      <c r="E39" s="10" t="s">
        <v>150</v>
      </c>
      <c r="F39" s="10">
        <v>33.38852</v>
      </c>
      <c r="G39" s="10">
        <v>43.702010000000001</v>
      </c>
      <c r="H39" s="11">
        <v>844</v>
      </c>
      <c r="I39" s="11">
        <v>5064</v>
      </c>
      <c r="J39" s="11">
        <v>605</v>
      </c>
      <c r="K39" s="11"/>
      <c r="L39" s="11">
        <v>96</v>
      </c>
      <c r="M39" s="11"/>
      <c r="N39" s="11"/>
      <c r="O39" s="11"/>
      <c r="P39" s="11">
        <v>143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>
        <v>844</v>
      </c>
      <c r="AD39" s="11"/>
      <c r="AE39" s="11"/>
      <c r="AF39" s="11"/>
      <c r="AG39" s="11"/>
      <c r="AH39" s="11"/>
      <c r="AI39" s="11"/>
      <c r="AJ39" s="11"/>
      <c r="AK39" s="11"/>
      <c r="AL39" s="11"/>
      <c r="AM39" s="11">
        <v>496</v>
      </c>
      <c r="AN39" s="11"/>
      <c r="AO39" s="11"/>
      <c r="AP39" s="11">
        <v>96</v>
      </c>
      <c r="AQ39" s="11">
        <v>252</v>
      </c>
      <c r="AR39" s="11"/>
      <c r="AS39" s="11"/>
      <c r="AT39" s="20" t="str">
        <f>HYPERLINK("http://www.openstreetmap.org/?mlat=33.3885&amp;mlon=43.702&amp;zoom=12#map=12/33.3885/43.702","Maplink1")</f>
        <v>Maplink1</v>
      </c>
      <c r="AU39" s="20" t="str">
        <f>HYPERLINK("https://www.google.iq/maps/search/+33.3885,43.702/@33.3885,43.702,14z?hl=en","Maplink2")</f>
        <v>Maplink2</v>
      </c>
      <c r="AV39" s="20" t="str">
        <f>HYPERLINK("http://www.bing.com/maps/?lvl=14&amp;sty=h&amp;cp=33.3885~43.702&amp;sp=point.33.3885_43.702","Maplink3")</f>
        <v>Maplink3</v>
      </c>
    </row>
    <row r="40" spans="1:48" x14ac:dyDescent="0.25">
      <c r="A40" s="9">
        <v>289</v>
      </c>
      <c r="B40" s="10" t="s">
        <v>8</v>
      </c>
      <c r="C40" s="10" t="s">
        <v>94</v>
      </c>
      <c r="D40" s="10" t="s">
        <v>151</v>
      </c>
      <c r="E40" s="10" t="s">
        <v>152</v>
      </c>
      <c r="F40" s="10">
        <v>33.334940000000003</v>
      </c>
      <c r="G40" s="10">
        <v>43.715409999999999</v>
      </c>
      <c r="H40" s="11">
        <v>713</v>
      </c>
      <c r="I40" s="11">
        <v>4278</v>
      </c>
      <c r="J40" s="11">
        <v>713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>
        <v>713</v>
      </c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185</v>
      </c>
      <c r="AN40" s="11"/>
      <c r="AO40" s="11"/>
      <c r="AP40" s="11">
        <v>80</v>
      </c>
      <c r="AQ40" s="11">
        <v>268</v>
      </c>
      <c r="AR40" s="11">
        <v>180</v>
      </c>
      <c r="AS40" s="11"/>
      <c r="AT40" s="20" t="str">
        <f>HYPERLINK("http://www.openstreetmap.org/?mlat=33.3349&amp;mlon=43.7154&amp;zoom=12#map=12/33.3349/43.7154","Maplink1")</f>
        <v>Maplink1</v>
      </c>
      <c r="AU40" s="20" t="str">
        <f>HYPERLINK("https://www.google.iq/maps/search/+33.3349,43.7154/@33.3349,43.7154,14z?hl=en","Maplink2")</f>
        <v>Maplink2</v>
      </c>
      <c r="AV40" s="20" t="str">
        <f>HYPERLINK("http://www.bing.com/maps/?lvl=14&amp;sty=h&amp;cp=33.3349~43.7154&amp;sp=point.33.3349_43.7154","Maplink3")</f>
        <v>Maplink3</v>
      </c>
    </row>
    <row r="41" spans="1:48" x14ac:dyDescent="0.25">
      <c r="A41" s="9">
        <v>324</v>
      </c>
      <c r="B41" s="10" t="s">
        <v>8</v>
      </c>
      <c r="C41" s="10" t="s">
        <v>94</v>
      </c>
      <c r="D41" s="10" t="s">
        <v>153</v>
      </c>
      <c r="E41" s="10" t="s">
        <v>154</v>
      </c>
      <c r="F41" s="10">
        <v>33.30283</v>
      </c>
      <c r="G41" s="10">
        <v>43.751420000000003</v>
      </c>
      <c r="H41" s="11">
        <v>831</v>
      </c>
      <c r="I41" s="11">
        <v>4986</v>
      </c>
      <c r="J41" s="11">
        <v>402</v>
      </c>
      <c r="K41" s="11"/>
      <c r="L41" s="11"/>
      <c r="M41" s="11"/>
      <c r="N41" s="11"/>
      <c r="O41" s="11"/>
      <c r="P41" s="11">
        <v>160</v>
      </c>
      <c r="Q41" s="11"/>
      <c r="R41" s="11">
        <v>140</v>
      </c>
      <c r="S41" s="11"/>
      <c r="T41" s="11"/>
      <c r="U41" s="11"/>
      <c r="V41" s="11"/>
      <c r="W41" s="11"/>
      <c r="X41" s="11"/>
      <c r="Y41" s="11">
        <v>129</v>
      </c>
      <c r="Z41" s="11"/>
      <c r="AA41" s="11"/>
      <c r="AB41" s="11"/>
      <c r="AC41" s="11">
        <v>831</v>
      </c>
      <c r="AD41" s="11"/>
      <c r="AE41" s="11"/>
      <c r="AF41" s="11"/>
      <c r="AG41" s="11"/>
      <c r="AH41" s="11"/>
      <c r="AI41" s="11"/>
      <c r="AJ41" s="11"/>
      <c r="AK41" s="11"/>
      <c r="AL41" s="11"/>
      <c r="AM41" s="11">
        <v>786</v>
      </c>
      <c r="AN41" s="11"/>
      <c r="AO41" s="11"/>
      <c r="AP41" s="11">
        <v>45</v>
      </c>
      <c r="AQ41" s="11"/>
      <c r="AR41" s="11"/>
      <c r="AS41" s="11"/>
      <c r="AT41" s="20" t="str">
        <f>HYPERLINK("http://www.openstreetmap.org/?mlat=33.3028&amp;mlon=43.7514&amp;zoom=12#map=12/33.3028/43.7514","Maplink1")</f>
        <v>Maplink1</v>
      </c>
      <c r="AU41" s="20" t="str">
        <f>HYPERLINK("https://www.google.iq/maps/search/+33.3028,43.7514/@33.3028,43.7514,14z?hl=en","Maplink2")</f>
        <v>Maplink2</v>
      </c>
      <c r="AV41" s="20" t="str">
        <f>HYPERLINK("http://www.bing.com/maps/?lvl=14&amp;sty=h&amp;cp=33.3028~43.7514&amp;sp=point.33.3028_43.7514","Maplink3")</f>
        <v>Maplink3</v>
      </c>
    </row>
    <row r="42" spans="1:48" x14ac:dyDescent="0.25">
      <c r="A42" s="9">
        <v>315</v>
      </c>
      <c r="B42" s="10" t="s">
        <v>8</v>
      </c>
      <c r="C42" s="10" t="s">
        <v>94</v>
      </c>
      <c r="D42" s="10" t="s">
        <v>155</v>
      </c>
      <c r="E42" s="10" t="s">
        <v>156</v>
      </c>
      <c r="F42" s="10">
        <v>33.391424000000001</v>
      </c>
      <c r="G42" s="10">
        <v>43.832222999999999</v>
      </c>
      <c r="H42" s="11">
        <v>1705</v>
      </c>
      <c r="I42" s="11">
        <v>10230</v>
      </c>
      <c r="J42" s="11">
        <v>887</v>
      </c>
      <c r="K42" s="11"/>
      <c r="L42" s="11">
        <v>585</v>
      </c>
      <c r="M42" s="11"/>
      <c r="N42" s="11"/>
      <c r="O42" s="11"/>
      <c r="P42" s="11">
        <v>88</v>
      </c>
      <c r="Q42" s="11"/>
      <c r="R42" s="11">
        <v>145</v>
      </c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>
        <v>1705</v>
      </c>
      <c r="AD42" s="11"/>
      <c r="AE42" s="11"/>
      <c r="AF42" s="11"/>
      <c r="AG42" s="11"/>
      <c r="AH42" s="11"/>
      <c r="AI42" s="11"/>
      <c r="AJ42" s="11"/>
      <c r="AK42" s="11"/>
      <c r="AL42" s="11"/>
      <c r="AM42" s="11">
        <v>593</v>
      </c>
      <c r="AN42" s="11">
        <v>268</v>
      </c>
      <c r="AO42" s="11"/>
      <c r="AP42" s="11">
        <v>217</v>
      </c>
      <c r="AQ42" s="11">
        <v>627</v>
      </c>
      <c r="AR42" s="11"/>
      <c r="AS42" s="11"/>
      <c r="AT42" s="20" t="str">
        <f>HYPERLINK("http://www.openstreetmap.org/?mlat=33.3914&amp;mlon=43.8322&amp;zoom=12#map=12/33.3914/43.8322","Maplink1")</f>
        <v>Maplink1</v>
      </c>
      <c r="AU42" s="20" t="str">
        <f>HYPERLINK("https://www.google.iq/maps/search/+33.3914,43.8322/@33.3914,43.8322,14z?hl=en","Maplink2")</f>
        <v>Maplink2</v>
      </c>
      <c r="AV42" s="20" t="str">
        <f>HYPERLINK("http://www.bing.com/maps/?lvl=14&amp;sty=h&amp;cp=33.3914~43.8322&amp;sp=point.33.3914_43.8322","Maplink3")</f>
        <v>Maplink3</v>
      </c>
    </row>
    <row r="43" spans="1:48" x14ac:dyDescent="0.25">
      <c r="A43" s="9">
        <v>23802</v>
      </c>
      <c r="B43" s="10" t="s">
        <v>8</v>
      </c>
      <c r="C43" s="10" t="s">
        <v>94</v>
      </c>
      <c r="D43" s="10" t="s">
        <v>157</v>
      </c>
      <c r="E43" s="10" t="s">
        <v>158</v>
      </c>
      <c r="F43" s="10">
        <v>33.250250000000001</v>
      </c>
      <c r="G43" s="10">
        <v>43.839939999999999</v>
      </c>
      <c r="H43" s="11">
        <v>392</v>
      </c>
      <c r="I43" s="11">
        <v>2352</v>
      </c>
      <c r="J43" s="11">
        <v>70</v>
      </c>
      <c r="K43" s="11"/>
      <c r="L43" s="11">
        <v>210</v>
      </c>
      <c r="M43" s="11"/>
      <c r="N43" s="11"/>
      <c r="O43" s="11"/>
      <c r="P43" s="11"/>
      <c r="Q43" s="11"/>
      <c r="R43" s="11">
        <v>112</v>
      </c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>
        <v>392</v>
      </c>
      <c r="AD43" s="11"/>
      <c r="AE43" s="11"/>
      <c r="AF43" s="11"/>
      <c r="AG43" s="11"/>
      <c r="AH43" s="11"/>
      <c r="AI43" s="11"/>
      <c r="AJ43" s="11"/>
      <c r="AK43" s="11"/>
      <c r="AL43" s="11"/>
      <c r="AM43" s="11">
        <v>142</v>
      </c>
      <c r="AN43" s="11">
        <v>40</v>
      </c>
      <c r="AO43" s="11"/>
      <c r="AP43" s="11">
        <v>210</v>
      </c>
      <c r="AQ43" s="11"/>
      <c r="AR43" s="11"/>
      <c r="AS43" s="11"/>
      <c r="AT43" s="20" t="str">
        <f>HYPERLINK("http://www.openstreetmap.org/?mlat=33.2503&amp;mlon=43.8399&amp;zoom=12#map=12/33.2503/43.8399","Maplink1")</f>
        <v>Maplink1</v>
      </c>
      <c r="AU43" s="20" t="str">
        <f>HYPERLINK("https://www.google.iq/maps/search/+33.2503,43.8399/@33.2503,43.8399,14z?hl=en","Maplink2")</f>
        <v>Maplink2</v>
      </c>
      <c r="AV43" s="20" t="str">
        <f>HYPERLINK("http://www.bing.com/maps/?lvl=14&amp;sty=h&amp;cp=33.2503~43.8399&amp;sp=point.33.2503_43.8399","Maplink3")</f>
        <v>Maplink3</v>
      </c>
    </row>
    <row r="44" spans="1:48" x14ac:dyDescent="0.25">
      <c r="A44" s="9">
        <v>24107</v>
      </c>
      <c r="B44" s="10" t="s">
        <v>8</v>
      </c>
      <c r="C44" s="10" t="s">
        <v>94</v>
      </c>
      <c r="D44" s="10" t="s">
        <v>159</v>
      </c>
      <c r="E44" s="10" t="s">
        <v>160</v>
      </c>
      <c r="F44" s="10">
        <v>33.439729999999997</v>
      </c>
      <c r="G44" s="10">
        <v>43.864870000000003</v>
      </c>
      <c r="H44" s="11">
        <v>1516</v>
      </c>
      <c r="I44" s="11">
        <v>9096</v>
      </c>
      <c r="J44" s="11">
        <v>836</v>
      </c>
      <c r="K44" s="11"/>
      <c r="L44" s="11">
        <v>563</v>
      </c>
      <c r="M44" s="11"/>
      <c r="N44" s="11"/>
      <c r="O44" s="11"/>
      <c r="P44" s="11"/>
      <c r="Q44" s="11"/>
      <c r="R44" s="11">
        <v>90</v>
      </c>
      <c r="S44" s="11"/>
      <c r="T44" s="11"/>
      <c r="U44" s="11"/>
      <c r="V44" s="11"/>
      <c r="W44" s="11"/>
      <c r="X44" s="11"/>
      <c r="Y44" s="11">
        <v>27</v>
      </c>
      <c r="Z44" s="11"/>
      <c r="AA44" s="11"/>
      <c r="AB44" s="11"/>
      <c r="AC44" s="11">
        <v>1467</v>
      </c>
      <c r="AD44" s="11"/>
      <c r="AE44" s="11"/>
      <c r="AF44" s="11"/>
      <c r="AG44" s="11"/>
      <c r="AH44" s="11"/>
      <c r="AI44" s="11">
        <v>49</v>
      </c>
      <c r="AJ44" s="11"/>
      <c r="AK44" s="11"/>
      <c r="AL44" s="11"/>
      <c r="AM44" s="11">
        <v>554</v>
      </c>
      <c r="AN44" s="11">
        <v>27</v>
      </c>
      <c r="AO44" s="11"/>
      <c r="AP44" s="11">
        <v>470</v>
      </c>
      <c r="AQ44" s="11">
        <v>465</v>
      </c>
      <c r="AR44" s="11"/>
      <c r="AS44" s="11"/>
      <c r="AT44" s="20" t="str">
        <f>HYPERLINK("http://www.openstreetmap.org/?mlat=33.4397&amp;mlon=43.8649&amp;zoom=12#map=12/33.4397/43.8649","Maplink1")</f>
        <v>Maplink1</v>
      </c>
      <c r="AU44" s="20" t="str">
        <f>HYPERLINK("https://www.google.iq/maps/search/+33.4397,43.8649/@33.4397,43.8649,14z?hl=en","Maplink2")</f>
        <v>Maplink2</v>
      </c>
      <c r="AV44" s="20" t="str">
        <f>HYPERLINK("http://www.bing.com/maps/?lvl=14&amp;sty=h&amp;cp=33.4397~43.8649&amp;sp=point.33.4397_43.8649","Maplink3")</f>
        <v>Maplink3</v>
      </c>
    </row>
    <row r="45" spans="1:48" x14ac:dyDescent="0.25">
      <c r="A45" s="9">
        <v>22134</v>
      </c>
      <c r="B45" s="10" t="s">
        <v>8</v>
      </c>
      <c r="C45" s="10" t="s">
        <v>94</v>
      </c>
      <c r="D45" s="10" t="s">
        <v>161</v>
      </c>
      <c r="E45" s="10" t="s">
        <v>162</v>
      </c>
      <c r="F45" s="10">
        <v>33.429650000000002</v>
      </c>
      <c r="G45" s="10">
        <v>43.945860000000003</v>
      </c>
      <c r="H45" s="11">
        <v>1950</v>
      </c>
      <c r="I45" s="11">
        <v>11700</v>
      </c>
      <c r="J45" s="11">
        <v>1267</v>
      </c>
      <c r="K45" s="11"/>
      <c r="L45" s="11">
        <v>378</v>
      </c>
      <c r="M45" s="11"/>
      <c r="N45" s="11"/>
      <c r="O45" s="11"/>
      <c r="P45" s="11">
        <v>62</v>
      </c>
      <c r="Q45" s="11"/>
      <c r="R45" s="11">
        <v>243</v>
      </c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>
        <v>1868</v>
      </c>
      <c r="AD45" s="11"/>
      <c r="AE45" s="11"/>
      <c r="AF45" s="11"/>
      <c r="AG45" s="11"/>
      <c r="AH45" s="11"/>
      <c r="AI45" s="11">
        <v>82</v>
      </c>
      <c r="AJ45" s="11"/>
      <c r="AK45" s="11"/>
      <c r="AL45" s="11"/>
      <c r="AM45" s="11">
        <v>603</v>
      </c>
      <c r="AN45" s="11"/>
      <c r="AO45" s="11"/>
      <c r="AP45" s="11">
        <v>270</v>
      </c>
      <c r="AQ45" s="11">
        <v>1077</v>
      </c>
      <c r="AR45" s="11"/>
      <c r="AS45" s="11"/>
      <c r="AT45" s="20" t="str">
        <f>HYPERLINK("http://www.openstreetmap.org/?mlat=33.4297&amp;mlon=43.9459&amp;zoom=12#map=12/33.4297/43.9459","Maplink1")</f>
        <v>Maplink1</v>
      </c>
      <c r="AU45" s="20" t="str">
        <f>HYPERLINK("https://www.google.iq/maps/search/+33.4297,43.9459/@33.4297,43.9459,14z?hl=en","Maplink2")</f>
        <v>Maplink2</v>
      </c>
      <c r="AV45" s="20" t="str">
        <f>HYPERLINK("http://www.bing.com/maps/?lvl=14&amp;sty=h&amp;cp=33.4297~43.9459&amp;sp=point.33.4297_43.9459","Maplink3")</f>
        <v>Maplink3</v>
      </c>
    </row>
    <row r="46" spans="1:48" x14ac:dyDescent="0.25">
      <c r="A46" s="9">
        <v>318</v>
      </c>
      <c r="B46" s="10" t="s">
        <v>8</v>
      </c>
      <c r="C46" s="10" t="s">
        <v>94</v>
      </c>
      <c r="D46" s="10" t="s">
        <v>163</v>
      </c>
      <c r="E46" s="10" t="s">
        <v>164</v>
      </c>
      <c r="F46" s="10">
        <v>33.452350000000003</v>
      </c>
      <c r="G46" s="10">
        <v>43.847650000000002</v>
      </c>
      <c r="H46" s="11">
        <v>2106</v>
      </c>
      <c r="I46" s="11">
        <v>12636</v>
      </c>
      <c r="J46" s="11">
        <v>1385</v>
      </c>
      <c r="K46" s="11"/>
      <c r="L46" s="11">
        <v>523</v>
      </c>
      <c r="M46" s="11"/>
      <c r="N46" s="11"/>
      <c r="O46" s="11"/>
      <c r="P46" s="11">
        <v>162</v>
      </c>
      <c r="Q46" s="11"/>
      <c r="R46" s="11">
        <v>36</v>
      </c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>
        <v>2106</v>
      </c>
      <c r="AD46" s="11"/>
      <c r="AE46" s="11"/>
      <c r="AF46" s="11"/>
      <c r="AG46" s="11"/>
      <c r="AH46" s="11"/>
      <c r="AI46" s="11"/>
      <c r="AJ46" s="11"/>
      <c r="AK46" s="11"/>
      <c r="AL46" s="11"/>
      <c r="AM46" s="11">
        <v>431</v>
      </c>
      <c r="AN46" s="11">
        <v>90</v>
      </c>
      <c r="AO46" s="11"/>
      <c r="AP46" s="11">
        <v>254</v>
      </c>
      <c r="AQ46" s="11">
        <v>1331</v>
      </c>
      <c r="AR46" s="11"/>
      <c r="AS46" s="11"/>
      <c r="AT46" s="20" t="str">
        <f>HYPERLINK("http://www.openstreetmap.org/?mlat=33.4524&amp;mlon=43.8477&amp;zoom=12#map=12/33.4524/43.8477","Maplink1")</f>
        <v>Maplink1</v>
      </c>
      <c r="AU46" s="20" t="str">
        <f>HYPERLINK("https://www.google.iq/maps/search/+33.4524,43.8477/@33.4524,43.8477,14z?hl=en","Maplink2")</f>
        <v>Maplink2</v>
      </c>
      <c r="AV46" s="20" t="str">
        <f>HYPERLINK("http://www.bing.com/maps/?lvl=14&amp;sty=h&amp;cp=33.4524~43.8477&amp;sp=point.33.4524_43.8477","Maplink3")</f>
        <v>Maplink3</v>
      </c>
    </row>
    <row r="47" spans="1:48" x14ac:dyDescent="0.25">
      <c r="A47" s="9">
        <v>21201</v>
      </c>
      <c r="B47" s="10" t="s">
        <v>8</v>
      </c>
      <c r="C47" s="10" t="s">
        <v>94</v>
      </c>
      <c r="D47" s="10" t="s">
        <v>165</v>
      </c>
      <c r="E47" s="10" t="s">
        <v>166</v>
      </c>
      <c r="F47" s="10">
        <v>33.415022999999998</v>
      </c>
      <c r="G47" s="10">
        <v>43.702190000000002</v>
      </c>
      <c r="H47" s="11">
        <v>902</v>
      </c>
      <c r="I47" s="11">
        <v>5412</v>
      </c>
      <c r="J47" s="11">
        <v>815</v>
      </c>
      <c r="K47" s="11"/>
      <c r="L47" s="11">
        <v>87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>
        <v>902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>
        <v>815</v>
      </c>
      <c r="AN47" s="11"/>
      <c r="AO47" s="11"/>
      <c r="AP47" s="11">
        <v>87</v>
      </c>
      <c r="AQ47" s="11"/>
      <c r="AR47" s="11"/>
      <c r="AS47" s="11"/>
      <c r="AT47" s="20" t="str">
        <f>HYPERLINK("http://www.openstreetmap.org/?mlat=33.415&amp;mlon=43.7022&amp;zoom=12#map=12/33.415/43.7022","Maplink1")</f>
        <v>Maplink1</v>
      </c>
      <c r="AU47" s="20" t="str">
        <f>HYPERLINK("https://www.google.iq/maps/search/+33.415,43.7022/@33.415,43.7022,14z?hl=en","Maplink2")</f>
        <v>Maplink2</v>
      </c>
      <c r="AV47" s="20" t="str">
        <f>HYPERLINK("http://www.bing.com/maps/?lvl=14&amp;sty=h&amp;cp=33.415~43.7022&amp;sp=point.33.415_43.7022","Maplink3")</f>
        <v>Maplink3</v>
      </c>
    </row>
    <row r="48" spans="1:48" x14ac:dyDescent="0.25">
      <c r="A48" s="9">
        <v>22606</v>
      </c>
      <c r="B48" s="10" t="s">
        <v>8</v>
      </c>
      <c r="C48" s="10" t="s">
        <v>94</v>
      </c>
      <c r="D48" s="10" t="s">
        <v>167</v>
      </c>
      <c r="E48" s="10" t="s">
        <v>168</v>
      </c>
      <c r="F48" s="10">
        <v>33.390430000000002</v>
      </c>
      <c r="G48" s="10">
        <v>43.629840000000002</v>
      </c>
      <c r="H48" s="11">
        <v>974</v>
      </c>
      <c r="I48" s="11">
        <v>5844</v>
      </c>
      <c r="J48" s="11">
        <v>615</v>
      </c>
      <c r="K48" s="11"/>
      <c r="L48" s="11">
        <v>199</v>
      </c>
      <c r="M48" s="11"/>
      <c r="N48" s="11"/>
      <c r="O48" s="11"/>
      <c r="P48" s="11">
        <v>160</v>
      </c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>
        <v>974</v>
      </c>
      <c r="AD48" s="11"/>
      <c r="AE48" s="11"/>
      <c r="AF48" s="11"/>
      <c r="AG48" s="11"/>
      <c r="AH48" s="11"/>
      <c r="AI48" s="11"/>
      <c r="AJ48" s="11"/>
      <c r="AK48" s="11"/>
      <c r="AL48" s="11"/>
      <c r="AM48" s="11">
        <v>694</v>
      </c>
      <c r="AN48" s="11"/>
      <c r="AO48" s="11"/>
      <c r="AP48" s="11">
        <v>160</v>
      </c>
      <c r="AQ48" s="11">
        <v>120</v>
      </c>
      <c r="AR48" s="11"/>
      <c r="AS48" s="11"/>
      <c r="AT48" s="20" t="str">
        <f>HYPERLINK("http://www.openstreetmap.org/?mlat=33.3904&amp;mlon=43.6298&amp;zoom=12#map=12/33.3904/43.6298","Maplink1")</f>
        <v>Maplink1</v>
      </c>
      <c r="AU48" s="20" t="str">
        <f>HYPERLINK("https://www.google.iq/maps/search/+33.3904,43.6298/@33.3904,43.6298,14z?hl=en","Maplink2")</f>
        <v>Maplink2</v>
      </c>
      <c r="AV48" s="20" t="str">
        <f>HYPERLINK("http://www.bing.com/maps/?lvl=14&amp;sty=h&amp;cp=33.3904~43.6298&amp;sp=point.33.3904_43.6298","Maplink3")</f>
        <v>Maplink3</v>
      </c>
    </row>
    <row r="49" spans="1:48" x14ac:dyDescent="0.25">
      <c r="A49" s="9">
        <v>300</v>
      </c>
      <c r="B49" s="10" t="s">
        <v>8</v>
      </c>
      <c r="C49" s="10" t="s">
        <v>94</v>
      </c>
      <c r="D49" s="10" t="s">
        <v>169</v>
      </c>
      <c r="E49" s="10" t="s">
        <v>170</v>
      </c>
      <c r="F49" s="10">
        <v>33.395240000000001</v>
      </c>
      <c r="G49" s="10">
        <v>33.395240000000001</v>
      </c>
      <c r="H49" s="11">
        <v>1617</v>
      </c>
      <c r="I49" s="11">
        <v>9702</v>
      </c>
      <c r="J49" s="11">
        <v>898</v>
      </c>
      <c r="K49" s="11"/>
      <c r="L49" s="11">
        <v>496</v>
      </c>
      <c r="M49" s="11"/>
      <c r="N49" s="11"/>
      <c r="O49" s="11"/>
      <c r="P49" s="11">
        <v>125</v>
      </c>
      <c r="Q49" s="11"/>
      <c r="R49" s="11">
        <v>98</v>
      </c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>
        <v>1617</v>
      </c>
      <c r="AD49" s="11"/>
      <c r="AE49" s="11"/>
      <c r="AF49" s="11"/>
      <c r="AG49" s="11"/>
      <c r="AH49" s="11"/>
      <c r="AI49" s="11"/>
      <c r="AJ49" s="11"/>
      <c r="AK49" s="11"/>
      <c r="AL49" s="11"/>
      <c r="AM49" s="11">
        <v>117</v>
      </c>
      <c r="AN49" s="11">
        <v>223</v>
      </c>
      <c r="AO49" s="11"/>
      <c r="AP49" s="11">
        <v>496</v>
      </c>
      <c r="AQ49" s="11">
        <v>781</v>
      </c>
      <c r="AR49" s="11"/>
      <c r="AS49" s="11"/>
      <c r="AT49" s="20" t="str">
        <f>HYPERLINK("http://www.openstreetmap.org/?mlat=33.3952&amp;mlon=33.3952&amp;zoom=12#map=12/33.3952/33.3952","Maplink1")</f>
        <v>Maplink1</v>
      </c>
      <c r="AU49" s="20" t="str">
        <f>HYPERLINK("https://www.google.iq/maps/search/+33.3952,33.3952/@33.3952,33.3952,14z?hl=en","Maplink2")</f>
        <v>Maplink2</v>
      </c>
      <c r="AV49" s="20" t="str">
        <f>HYPERLINK("http://www.bing.com/maps/?lvl=14&amp;sty=h&amp;cp=33.3952~33.3952&amp;sp=point.33.3952_33.3952","Maplink3")</f>
        <v>Maplink3</v>
      </c>
    </row>
    <row r="50" spans="1:48" x14ac:dyDescent="0.25">
      <c r="A50" s="9">
        <v>22706</v>
      </c>
      <c r="B50" s="10" t="s">
        <v>8</v>
      </c>
      <c r="C50" s="10" t="s">
        <v>94</v>
      </c>
      <c r="D50" s="10" t="s">
        <v>171</v>
      </c>
      <c r="E50" s="10" t="s">
        <v>172</v>
      </c>
      <c r="F50" s="10">
        <v>33.33719</v>
      </c>
      <c r="G50" s="10">
        <v>43.709780000000002</v>
      </c>
      <c r="H50" s="11">
        <v>2169</v>
      </c>
      <c r="I50" s="11">
        <v>13014</v>
      </c>
      <c r="J50" s="11">
        <v>1146</v>
      </c>
      <c r="K50" s="11"/>
      <c r="L50" s="11">
        <v>300</v>
      </c>
      <c r="M50" s="11"/>
      <c r="N50" s="11"/>
      <c r="O50" s="11"/>
      <c r="P50" s="11">
        <v>210</v>
      </c>
      <c r="Q50" s="11"/>
      <c r="R50" s="11">
        <v>300</v>
      </c>
      <c r="S50" s="11"/>
      <c r="T50" s="11"/>
      <c r="U50" s="11"/>
      <c r="V50" s="11"/>
      <c r="W50" s="11"/>
      <c r="X50" s="11"/>
      <c r="Y50" s="11">
        <v>213</v>
      </c>
      <c r="Z50" s="11"/>
      <c r="AA50" s="11"/>
      <c r="AB50" s="11"/>
      <c r="AC50" s="11">
        <v>2105</v>
      </c>
      <c r="AD50" s="11"/>
      <c r="AE50" s="11"/>
      <c r="AF50" s="11"/>
      <c r="AG50" s="11"/>
      <c r="AH50" s="11"/>
      <c r="AI50" s="11">
        <v>64</v>
      </c>
      <c r="AJ50" s="11"/>
      <c r="AK50" s="11"/>
      <c r="AL50" s="11"/>
      <c r="AM50" s="11">
        <v>1252</v>
      </c>
      <c r="AN50" s="11"/>
      <c r="AO50" s="11"/>
      <c r="AP50" s="11">
        <v>162</v>
      </c>
      <c r="AQ50" s="11">
        <v>614</v>
      </c>
      <c r="AR50" s="11">
        <v>141</v>
      </c>
      <c r="AS50" s="11"/>
      <c r="AT50" s="20" t="str">
        <f>HYPERLINK("http://www.openstreetmap.org/?mlat=33.3372&amp;mlon=43.7098&amp;zoom=12#map=12/33.3372/43.7098","Maplink1")</f>
        <v>Maplink1</v>
      </c>
      <c r="AU50" s="20" t="str">
        <f>HYPERLINK("https://www.google.iq/maps/search/+33.3372,43.7098/@33.3372,43.7098,14z?hl=en","Maplink2")</f>
        <v>Maplink2</v>
      </c>
      <c r="AV50" s="20" t="str">
        <f>HYPERLINK("http://www.bing.com/maps/?lvl=14&amp;sty=h&amp;cp=33.3372~43.7098&amp;sp=point.33.3372_43.7098","Maplink3")</f>
        <v>Maplink3</v>
      </c>
    </row>
    <row r="51" spans="1:48" x14ac:dyDescent="0.25">
      <c r="A51" s="9">
        <v>126</v>
      </c>
      <c r="B51" s="10" t="s">
        <v>8</v>
      </c>
      <c r="C51" s="10" t="s">
        <v>94</v>
      </c>
      <c r="D51" s="10" t="s">
        <v>173</v>
      </c>
      <c r="E51" s="10" t="s">
        <v>174</v>
      </c>
      <c r="F51" s="10">
        <v>33.365659999999998</v>
      </c>
      <c r="G51" s="10">
        <v>43.771569999999997</v>
      </c>
      <c r="H51" s="11">
        <v>1847</v>
      </c>
      <c r="I51" s="11">
        <v>11082</v>
      </c>
      <c r="J51" s="11">
        <v>1251</v>
      </c>
      <c r="K51" s="11"/>
      <c r="L51" s="11"/>
      <c r="M51" s="11"/>
      <c r="N51" s="11"/>
      <c r="O51" s="11"/>
      <c r="P51" s="11">
        <v>290</v>
      </c>
      <c r="Q51" s="11"/>
      <c r="R51" s="11">
        <v>111</v>
      </c>
      <c r="S51" s="11"/>
      <c r="T51" s="11"/>
      <c r="U51" s="11"/>
      <c r="V51" s="11"/>
      <c r="W51" s="11"/>
      <c r="X51" s="11"/>
      <c r="Y51" s="11">
        <v>195</v>
      </c>
      <c r="Z51" s="11"/>
      <c r="AA51" s="11"/>
      <c r="AB51" s="11"/>
      <c r="AC51" s="11">
        <v>1847</v>
      </c>
      <c r="AD51" s="11"/>
      <c r="AE51" s="11"/>
      <c r="AF51" s="11"/>
      <c r="AG51" s="11"/>
      <c r="AH51" s="11"/>
      <c r="AI51" s="11"/>
      <c r="AJ51" s="11"/>
      <c r="AK51" s="11"/>
      <c r="AL51" s="11"/>
      <c r="AM51" s="11">
        <v>666</v>
      </c>
      <c r="AN51" s="11"/>
      <c r="AO51" s="11"/>
      <c r="AP51" s="11">
        <v>260</v>
      </c>
      <c r="AQ51" s="11">
        <v>812</v>
      </c>
      <c r="AR51" s="11">
        <v>109</v>
      </c>
      <c r="AS51" s="11"/>
      <c r="AT51" s="20" t="str">
        <f>HYPERLINK("http://www.openstreetmap.org/?mlat=33.3657&amp;mlon=43.7716&amp;zoom=12#map=12/33.3657/43.7716","Maplink1")</f>
        <v>Maplink1</v>
      </c>
      <c r="AU51" s="20" t="str">
        <f>HYPERLINK("https://www.google.iq/maps/search/+33.3657,43.7716/@33.3657,43.7716,14z?hl=en","Maplink2")</f>
        <v>Maplink2</v>
      </c>
      <c r="AV51" s="20" t="str">
        <f>HYPERLINK("http://www.bing.com/maps/?lvl=14&amp;sty=h&amp;cp=33.3657~43.7716&amp;sp=point.33.3657_43.7716","Maplink3")</f>
        <v>Maplink3</v>
      </c>
    </row>
    <row r="52" spans="1:48" x14ac:dyDescent="0.25">
      <c r="A52" s="9">
        <v>24106</v>
      </c>
      <c r="B52" s="10" t="s">
        <v>8</v>
      </c>
      <c r="C52" s="10" t="s">
        <v>94</v>
      </c>
      <c r="D52" s="10" t="s">
        <v>175</v>
      </c>
      <c r="E52" s="10" t="s">
        <v>176</v>
      </c>
      <c r="F52" s="10">
        <v>33.406427999999998</v>
      </c>
      <c r="G52" s="10">
        <v>43.923875000000002</v>
      </c>
      <c r="H52" s="11">
        <v>1114</v>
      </c>
      <c r="I52" s="11">
        <v>6684</v>
      </c>
      <c r="J52" s="11">
        <v>507</v>
      </c>
      <c r="K52" s="11"/>
      <c r="L52" s="11">
        <v>502</v>
      </c>
      <c r="M52" s="11"/>
      <c r="N52" s="11"/>
      <c r="O52" s="11"/>
      <c r="P52" s="11">
        <v>45</v>
      </c>
      <c r="Q52" s="11"/>
      <c r="R52" s="11"/>
      <c r="S52" s="11"/>
      <c r="T52" s="11"/>
      <c r="U52" s="11"/>
      <c r="V52" s="11"/>
      <c r="W52" s="11"/>
      <c r="X52" s="11"/>
      <c r="Y52" s="11">
        <v>60</v>
      </c>
      <c r="Z52" s="11"/>
      <c r="AA52" s="11"/>
      <c r="AB52" s="11"/>
      <c r="AC52" s="11">
        <v>780</v>
      </c>
      <c r="AD52" s="11"/>
      <c r="AE52" s="11"/>
      <c r="AF52" s="11"/>
      <c r="AG52" s="11"/>
      <c r="AH52" s="11"/>
      <c r="AI52" s="11">
        <v>334</v>
      </c>
      <c r="AJ52" s="11"/>
      <c r="AK52" s="11"/>
      <c r="AL52" s="11"/>
      <c r="AM52" s="11">
        <v>289</v>
      </c>
      <c r="AN52" s="11">
        <v>98</v>
      </c>
      <c r="AO52" s="11"/>
      <c r="AP52" s="11">
        <v>192</v>
      </c>
      <c r="AQ52" s="11">
        <v>535</v>
      </c>
      <c r="AR52" s="11"/>
      <c r="AS52" s="11"/>
      <c r="AT52" s="20" t="str">
        <f>HYPERLINK("http://www.openstreetmap.org/?mlat=33.4064&amp;mlon=43.9239&amp;zoom=12#map=12/33.4064/43.9239","Maplink1")</f>
        <v>Maplink1</v>
      </c>
      <c r="AU52" s="20" t="str">
        <f>HYPERLINK("https://www.google.iq/maps/search/+33.4064,43.9239/@33.4064,43.9239,14z?hl=en","Maplink2")</f>
        <v>Maplink2</v>
      </c>
      <c r="AV52" s="20" t="str">
        <f>HYPERLINK("http://www.bing.com/maps/?lvl=14&amp;sty=h&amp;cp=33.4064~43.9239&amp;sp=point.33.4064_43.9239","Maplink3")</f>
        <v>Maplink3</v>
      </c>
    </row>
    <row r="53" spans="1:48" x14ac:dyDescent="0.25">
      <c r="A53" s="9">
        <v>128</v>
      </c>
      <c r="B53" s="10" t="s">
        <v>8</v>
      </c>
      <c r="C53" s="10" t="s">
        <v>94</v>
      </c>
      <c r="D53" s="10" t="s">
        <v>177</v>
      </c>
      <c r="E53" s="10" t="s">
        <v>178</v>
      </c>
      <c r="F53" s="10">
        <v>33.361519999999999</v>
      </c>
      <c r="G53" s="10">
        <v>43.804450000000003</v>
      </c>
      <c r="H53" s="11">
        <v>3396</v>
      </c>
      <c r="I53" s="11">
        <v>20376</v>
      </c>
      <c r="J53" s="11">
        <v>1559</v>
      </c>
      <c r="K53" s="11"/>
      <c r="L53" s="11">
        <v>477</v>
      </c>
      <c r="M53" s="11"/>
      <c r="N53" s="11"/>
      <c r="O53" s="11"/>
      <c r="P53" s="11">
        <v>710</v>
      </c>
      <c r="Q53" s="11"/>
      <c r="R53" s="11">
        <v>328</v>
      </c>
      <c r="S53" s="11"/>
      <c r="T53" s="11"/>
      <c r="U53" s="11"/>
      <c r="V53" s="11"/>
      <c r="W53" s="11"/>
      <c r="X53" s="11"/>
      <c r="Y53" s="11">
        <v>322</v>
      </c>
      <c r="Z53" s="11"/>
      <c r="AA53" s="11"/>
      <c r="AB53" s="11"/>
      <c r="AC53" s="11">
        <v>3169</v>
      </c>
      <c r="AD53" s="11"/>
      <c r="AE53" s="11"/>
      <c r="AF53" s="11"/>
      <c r="AG53" s="11"/>
      <c r="AH53" s="11"/>
      <c r="AI53" s="11">
        <v>227</v>
      </c>
      <c r="AJ53" s="11"/>
      <c r="AK53" s="11"/>
      <c r="AL53" s="11"/>
      <c r="AM53" s="11">
        <v>1718</v>
      </c>
      <c r="AN53" s="11">
        <v>530</v>
      </c>
      <c r="AO53" s="11"/>
      <c r="AP53" s="11">
        <v>109</v>
      </c>
      <c r="AQ53" s="11">
        <v>798</v>
      </c>
      <c r="AR53" s="11">
        <v>241</v>
      </c>
      <c r="AS53" s="11"/>
      <c r="AT53" s="20" t="str">
        <f>HYPERLINK("http://www.openstreetmap.org/?mlat=33.3615&amp;mlon=43.8045&amp;zoom=12#map=12/33.3615/43.8045","Maplink1")</f>
        <v>Maplink1</v>
      </c>
      <c r="AU53" s="20" t="str">
        <f>HYPERLINK("https://www.google.iq/maps/search/+33.3615,43.8045/@33.3615,43.8045,14z?hl=en","Maplink2")</f>
        <v>Maplink2</v>
      </c>
      <c r="AV53" s="20" t="str">
        <f>HYPERLINK("http://www.bing.com/maps/?lvl=14&amp;sty=h&amp;cp=33.3615~43.8045&amp;sp=point.33.3615_43.8045","Maplink3")</f>
        <v>Maplink3</v>
      </c>
    </row>
    <row r="54" spans="1:48" x14ac:dyDescent="0.25">
      <c r="A54" s="9">
        <v>125</v>
      </c>
      <c r="B54" s="10" t="s">
        <v>8</v>
      </c>
      <c r="C54" s="10" t="s">
        <v>94</v>
      </c>
      <c r="D54" s="10" t="s">
        <v>179</v>
      </c>
      <c r="E54" s="10" t="s">
        <v>180</v>
      </c>
      <c r="F54" s="10">
        <v>33.357419999999998</v>
      </c>
      <c r="G54" s="10">
        <v>43.795020000000001</v>
      </c>
      <c r="H54" s="11">
        <v>3407</v>
      </c>
      <c r="I54" s="11">
        <v>20442</v>
      </c>
      <c r="J54" s="11">
        <v>1985</v>
      </c>
      <c r="K54" s="11"/>
      <c r="L54" s="11">
        <v>714</v>
      </c>
      <c r="M54" s="11"/>
      <c r="N54" s="11"/>
      <c r="O54" s="11"/>
      <c r="P54" s="11">
        <v>410</v>
      </c>
      <c r="Q54" s="11"/>
      <c r="R54" s="11">
        <v>98</v>
      </c>
      <c r="S54" s="11"/>
      <c r="T54" s="11"/>
      <c r="U54" s="11"/>
      <c r="V54" s="11"/>
      <c r="W54" s="11"/>
      <c r="X54" s="11"/>
      <c r="Y54" s="11">
        <v>200</v>
      </c>
      <c r="Z54" s="11"/>
      <c r="AA54" s="11"/>
      <c r="AB54" s="11"/>
      <c r="AC54" s="11">
        <v>3130</v>
      </c>
      <c r="AD54" s="11"/>
      <c r="AE54" s="11"/>
      <c r="AF54" s="11"/>
      <c r="AG54" s="11"/>
      <c r="AH54" s="11"/>
      <c r="AI54" s="11">
        <v>277</v>
      </c>
      <c r="AJ54" s="11"/>
      <c r="AK54" s="11"/>
      <c r="AL54" s="11"/>
      <c r="AM54" s="11">
        <v>1729</v>
      </c>
      <c r="AN54" s="11"/>
      <c r="AO54" s="11"/>
      <c r="AP54" s="11">
        <v>118</v>
      </c>
      <c r="AQ54" s="11">
        <v>889</v>
      </c>
      <c r="AR54" s="11">
        <v>671</v>
      </c>
      <c r="AS54" s="11"/>
      <c r="AT54" s="20" t="str">
        <f>HYPERLINK("http://www.openstreetmap.org/?mlat=33.3574&amp;mlon=43.795&amp;zoom=12#map=12/33.3574/43.795","Maplink1")</f>
        <v>Maplink1</v>
      </c>
      <c r="AU54" s="20" t="str">
        <f>HYPERLINK("https://www.google.iq/maps/search/+33.3574,43.795/@33.3574,43.795,14z?hl=en","Maplink2")</f>
        <v>Maplink2</v>
      </c>
      <c r="AV54" s="20" t="str">
        <f>HYPERLINK("http://www.bing.com/maps/?lvl=14&amp;sty=h&amp;cp=33.3574~43.795&amp;sp=point.33.3574_43.795","Maplink3")</f>
        <v>Maplink3</v>
      </c>
    </row>
    <row r="55" spans="1:48" x14ac:dyDescent="0.25">
      <c r="A55" s="9">
        <v>21809</v>
      </c>
      <c r="B55" s="10" t="s">
        <v>8</v>
      </c>
      <c r="C55" s="10" t="s">
        <v>94</v>
      </c>
      <c r="D55" s="10" t="s">
        <v>181</v>
      </c>
      <c r="E55" s="10" t="s">
        <v>182</v>
      </c>
      <c r="F55" s="10">
        <v>33.322510000000001</v>
      </c>
      <c r="G55" s="10">
        <v>43.793889999999998</v>
      </c>
      <c r="H55" s="11">
        <v>2359</v>
      </c>
      <c r="I55" s="11">
        <v>14154</v>
      </c>
      <c r="J55" s="11">
        <v>1119</v>
      </c>
      <c r="K55" s="11"/>
      <c r="L55" s="11">
        <v>762</v>
      </c>
      <c r="M55" s="11"/>
      <c r="N55" s="11"/>
      <c r="O55" s="11"/>
      <c r="P55" s="11">
        <v>278</v>
      </c>
      <c r="Q55" s="11"/>
      <c r="R55" s="11"/>
      <c r="S55" s="11"/>
      <c r="T55" s="11"/>
      <c r="U55" s="11"/>
      <c r="V55" s="11"/>
      <c r="W55" s="11"/>
      <c r="X55" s="11"/>
      <c r="Y55" s="11">
        <v>200</v>
      </c>
      <c r="Z55" s="11"/>
      <c r="AA55" s="11"/>
      <c r="AB55" s="11"/>
      <c r="AC55" s="11">
        <v>2282</v>
      </c>
      <c r="AD55" s="11"/>
      <c r="AE55" s="11"/>
      <c r="AF55" s="11"/>
      <c r="AG55" s="11"/>
      <c r="AH55" s="11"/>
      <c r="AI55" s="11">
        <v>77</v>
      </c>
      <c r="AJ55" s="11"/>
      <c r="AK55" s="11"/>
      <c r="AL55" s="11"/>
      <c r="AM55" s="11">
        <v>751</v>
      </c>
      <c r="AN55" s="11">
        <v>252</v>
      </c>
      <c r="AO55" s="11"/>
      <c r="AP55" s="11">
        <v>200</v>
      </c>
      <c r="AQ55" s="11">
        <v>127</v>
      </c>
      <c r="AR55" s="11">
        <v>1029</v>
      </c>
      <c r="AS55" s="11"/>
      <c r="AT55" s="20" t="str">
        <f>HYPERLINK("http://www.openstreetmap.org/?mlat=33.3225&amp;mlon=43.7939&amp;zoom=12#map=12/33.3225/43.7939","Maplink1")</f>
        <v>Maplink1</v>
      </c>
      <c r="AU55" s="20" t="str">
        <f>HYPERLINK("https://www.google.iq/maps/search/+33.3225,43.7939/@33.3225,43.7939,14z?hl=en","Maplink2")</f>
        <v>Maplink2</v>
      </c>
      <c r="AV55" s="20" t="str">
        <f>HYPERLINK("http://www.bing.com/maps/?lvl=14&amp;sty=h&amp;cp=33.3225~43.7939&amp;sp=point.33.3225_43.7939","Maplink3")</f>
        <v>Maplink3</v>
      </c>
    </row>
    <row r="56" spans="1:48" x14ac:dyDescent="0.25">
      <c r="A56" s="9">
        <v>175</v>
      </c>
      <c r="B56" s="10" t="s">
        <v>8</v>
      </c>
      <c r="C56" s="10" t="s">
        <v>94</v>
      </c>
      <c r="D56" s="10" t="s">
        <v>183</v>
      </c>
      <c r="E56" s="10" t="s">
        <v>184</v>
      </c>
      <c r="F56" s="10">
        <v>33.340919999999997</v>
      </c>
      <c r="G56" s="10">
        <v>43.767749999999999</v>
      </c>
      <c r="H56" s="11">
        <v>1386</v>
      </c>
      <c r="I56" s="11">
        <v>8316</v>
      </c>
      <c r="J56" s="11">
        <v>732</v>
      </c>
      <c r="K56" s="11"/>
      <c r="L56" s="11">
        <v>352</v>
      </c>
      <c r="M56" s="11"/>
      <c r="N56" s="11"/>
      <c r="O56" s="11"/>
      <c r="P56" s="11">
        <v>167</v>
      </c>
      <c r="Q56" s="11"/>
      <c r="R56" s="11">
        <v>135</v>
      </c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>
        <v>1386</v>
      </c>
      <c r="AD56" s="11"/>
      <c r="AE56" s="11"/>
      <c r="AF56" s="11"/>
      <c r="AG56" s="11"/>
      <c r="AH56" s="11"/>
      <c r="AI56" s="11"/>
      <c r="AJ56" s="11"/>
      <c r="AK56" s="11"/>
      <c r="AL56" s="11"/>
      <c r="AM56" s="11">
        <v>750</v>
      </c>
      <c r="AN56" s="11"/>
      <c r="AO56" s="11"/>
      <c r="AP56" s="11">
        <v>167</v>
      </c>
      <c r="AQ56" s="11">
        <v>322</v>
      </c>
      <c r="AR56" s="11">
        <v>147</v>
      </c>
      <c r="AS56" s="11"/>
      <c r="AT56" s="20" t="str">
        <f>HYPERLINK("http://www.openstreetmap.org/?mlat=33.3409&amp;mlon=43.7677&amp;zoom=12#map=12/33.3409/43.7677","Maplink1")</f>
        <v>Maplink1</v>
      </c>
      <c r="AU56" s="20" t="str">
        <f>HYPERLINK("https://www.google.iq/maps/search/+33.3409,43.7677/@33.3409,43.7677,14z?hl=en","Maplink2")</f>
        <v>Maplink2</v>
      </c>
      <c r="AV56" s="20" t="str">
        <f>HYPERLINK("http://www.bing.com/maps/?lvl=14&amp;sty=h&amp;cp=33.3409~43.7677&amp;sp=point.33.3409_43.7677","Maplink3")</f>
        <v>Maplink3</v>
      </c>
    </row>
    <row r="57" spans="1:48" x14ac:dyDescent="0.25">
      <c r="A57" s="9">
        <v>21559</v>
      </c>
      <c r="B57" s="10" t="s">
        <v>8</v>
      </c>
      <c r="C57" s="10" t="s">
        <v>94</v>
      </c>
      <c r="D57" s="10" t="s">
        <v>185</v>
      </c>
      <c r="E57" s="10" t="s">
        <v>186</v>
      </c>
      <c r="F57" s="10">
        <v>33.38355</v>
      </c>
      <c r="G57" s="10">
        <v>43.641219999999997</v>
      </c>
      <c r="H57" s="11">
        <v>506</v>
      </c>
      <c r="I57" s="11">
        <v>3036</v>
      </c>
      <c r="J57" s="11">
        <v>146</v>
      </c>
      <c r="K57" s="11"/>
      <c r="L57" s="11">
        <v>176</v>
      </c>
      <c r="M57" s="11"/>
      <c r="N57" s="11"/>
      <c r="O57" s="11"/>
      <c r="P57" s="11">
        <v>124</v>
      </c>
      <c r="Q57" s="11"/>
      <c r="R57" s="11">
        <v>60</v>
      </c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>
        <v>506</v>
      </c>
      <c r="AD57" s="11"/>
      <c r="AE57" s="11"/>
      <c r="AF57" s="11"/>
      <c r="AG57" s="11"/>
      <c r="AH57" s="11"/>
      <c r="AI57" s="11"/>
      <c r="AJ57" s="11"/>
      <c r="AK57" s="11"/>
      <c r="AL57" s="11"/>
      <c r="AM57" s="11">
        <v>195</v>
      </c>
      <c r="AN57" s="11"/>
      <c r="AO57" s="11"/>
      <c r="AP57" s="11">
        <v>251</v>
      </c>
      <c r="AQ57" s="11">
        <v>60</v>
      </c>
      <c r="AR57" s="11"/>
      <c r="AS57" s="11"/>
      <c r="AT57" s="20" t="str">
        <f>HYPERLINK("http://www.openstreetmap.org/?mlat=33.3836&amp;mlon=43.6412&amp;zoom=12#map=12/33.3836/43.6412","Maplink1")</f>
        <v>Maplink1</v>
      </c>
      <c r="AU57" s="20" t="str">
        <f>HYPERLINK("https://www.google.iq/maps/search/+33.3836,43.6412/@33.3836,43.6412,14z?hl=en","Maplink2")</f>
        <v>Maplink2</v>
      </c>
      <c r="AV57" s="20" t="str">
        <f>HYPERLINK("http://www.bing.com/maps/?lvl=14&amp;sty=h&amp;cp=33.3836~43.6412&amp;sp=point.33.3836_43.6412","Maplink3")</f>
        <v>Maplink3</v>
      </c>
    </row>
    <row r="58" spans="1:48" x14ac:dyDescent="0.25">
      <c r="A58" s="9">
        <v>31880</v>
      </c>
      <c r="B58" s="10" t="s">
        <v>8</v>
      </c>
      <c r="C58" s="10" t="s">
        <v>94</v>
      </c>
      <c r="D58" s="10" t="s">
        <v>187</v>
      </c>
      <c r="E58" s="10" t="s">
        <v>188</v>
      </c>
      <c r="F58" s="10">
        <v>33.405245999999998</v>
      </c>
      <c r="G58" s="10">
        <v>43.910063999999998</v>
      </c>
      <c r="H58" s="11">
        <v>168</v>
      </c>
      <c r="I58" s="11">
        <v>1008</v>
      </c>
      <c r="J58" s="11"/>
      <c r="K58" s="11"/>
      <c r="L58" s="11">
        <v>168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>
        <v>168</v>
      </c>
      <c r="AD58" s="11"/>
      <c r="AE58" s="11"/>
      <c r="AF58" s="11"/>
      <c r="AG58" s="11"/>
      <c r="AH58" s="11"/>
      <c r="AI58" s="11"/>
      <c r="AJ58" s="11"/>
      <c r="AK58" s="11"/>
      <c r="AL58" s="11"/>
      <c r="AM58" s="11">
        <v>168</v>
      </c>
      <c r="AN58" s="11"/>
      <c r="AO58" s="11"/>
      <c r="AP58" s="11"/>
      <c r="AQ58" s="11"/>
      <c r="AR58" s="11"/>
      <c r="AS58" s="11"/>
      <c r="AT58" s="20" t="str">
        <f>HYPERLINK("http://www.openstreetmap.org/?mlat=33.4052&amp;mlon=43.9101&amp;zoom=12#map=12/33.4052/43.9101","Maplink1")</f>
        <v>Maplink1</v>
      </c>
      <c r="AU58" s="20" t="str">
        <f>HYPERLINK("https://www.google.iq/maps/search/+33.4052,43.9101/@33.4052,43.9101,14z?hl=en","Maplink2")</f>
        <v>Maplink2</v>
      </c>
      <c r="AV58" s="20" t="str">
        <f>HYPERLINK("http://www.bing.com/maps/?lvl=14&amp;sty=h&amp;cp=33.4052~43.9101&amp;sp=point.33.4052_43.9101","Maplink3")</f>
        <v>Maplink3</v>
      </c>
    </row>
    <row r="59" spans="1:48" x14ac:dyDescent="0.25">
      <c r="A59" s="9">
        <v>47</v>
      </c>
      <c r="B59" s="10" t="s">
        <v>8</v>
      </c>
      <c r="C59" s="10" t="s">
        <v>94</v>
      </c>
      <c r="D59" s="10" t="s">
        <v>189</v>
      </c>
      <c r="E59" s="10" t="s">
        <v>190</v>
      </c>
      <c r="F59" s="10">
        <v>33.388420000000004</v>
      </c>
      <c r="G59" s="10">
        <v>43.974580000000003</v>
      </c>
      <c r="H59" s="11">
        <v>555</v>
      </c>
      <c r="I59" s="11">
        <v>3330</v>
      </c>
      <c r="J59" s="11">
        <v>211</v>
      </c>
      <c r="K59" s="11"/>
      <c r="L59" s="11">
        <v>259</v>
      </c>
      <c r="M59" s="11"/>
      <c r="N59" s="11"/>
      <c r="O59" s="11"/>
      <c r="P59" s="11">
        <v>85</v>
      </c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>
        <v>555</v>
      </c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>
        <v>104</v>
      </c>
      <c r="AO59" s="11"/>
      <c r="AP59" s="11">
        <v>240</v>
      </c>
      <c r="AQ59" s="11">
        <v>211</v>
      </c>
      <c r="AR59" s="11"/>
      <c r="AS59" s="11"/>
      <c r="AT59" s="20" t="str">
        <f>HYPERLINK("http://www.openstreetmap.org/?mlat=33.3884&amp;mlon=43.9746&amp;zoom=12#map=12/33.3884/43.9746","Maplink1")</f>
        <v>Maplink1</v>
      </c>
      <c r="AU59" s="20" t="str">
        <f>HYPERLINK("https://www.google.iq/maps/search/+33.3884,43.9746/@33.3884,43.9746,14z?hl=en","Maplink2")</f>
        <v>Maplink2</v>
      </c>
      <c r="AV59" s="20" t="str">
        <f>HYPERLINK("http://www.bing.com/maps/?lvl=14&amp;sty=h&amp;cp=33.3884~43.9746&amp;sp=point.33.3884_43.9746","Maplink3")</f>
        <v>Maplink3</v>
      </c>
    </row>
    <row r="60" spans="1:48" x14ac:dyDescent="0.25">
      <c r="A60" s="9">
        <v>157</v>
      </c>
      <c r="B60" s="10" t="s">
        <v>8</v>
      </c>
      <c r="C60" s="10" t="s">
        <v>94</v>
      </c>
      <c r="D60" s="10" t="s">
        <v>191</v>
      </c>
      <c r="E60" s="10" t="s">
        <v>192</v>
      </c>
      <c r="F60" s="10">
        <v>33.363810000000001</v>
      </c>
      <c r="G60" s="10">
        <v>43.780279999999998</v>
      </c>
      <c r="H60" s="11">
        <v>1900</v>
      </c>
      <c r="I60" s="11">
        <v>11400</v>
      </c>
      <c r="J60" s="11">
        <v>850</v>
      </c>
      <c r="K60" s="11"/>
      <c r="L60" s="11">
        <v>300</v>
      </c>
      <c r="M60" s="11"/>
      <c r="N60" s="11"/>
      <c r="O60" s="11"/>
      <c r="P60" s="11">
        <v>400</v>
      </c>
      <c r="Q60" s="11"/>
      <c r="R60" s="11">
        <v>128</v>
      </c>
      <c r="S60" s="11"/>
      <c r="T60" s="11"/>
      <c r="U60" s="11"/>
      <c r="V60" s="11"/>
      <c r="W60" s="11"/>
      <c r="X60" s="11">
        <v>80</v>
      </c>
      <c r="Y60" s="11">
        <v>142</v>
      </c>
      <c r="Z60" s="11"/>
      <c r="AA60" s="11"/>
      <c r="AB60" s="11"/>
      <c r="AC60" s="11">
        <v>1680</v>
      </c>
      <c r="AD60" s="11"/>
      <c r="AE60" s="11"/>
      <c r="AF60" s="11"/>
      <c r="AG60" s="11"/>
      <c r="AH60" s="11"/>
      <c r="AI60" s="11">
        <v>220</v>
      </c>
      <c r="AJ60" s="11"/>
      <c r="AK60" s="11"/>
      <c r="AL60" s="11"/>
      <c r="AM60" s="11">
        <v>1020</v>
      </c>
      <c r="AN60" s="11"/>
      <c r="AO60" s="11"/>
      <c r="AP60" s="11">
        <v>180</v>
      </c>
      <c r="AQ60" s="11">
        <v>620</v>
      </c>
      <c r="AR60" s="11">
        <v>80</v>
      </c>
      <c r="AS60" s="11"/>
      <c r="AT60" s="20" t="str">
        <f>HYPERLINK("http://www.openstreetmap.org/?mlat=33.3638&amp;mlon=43.7803&amp;zoom=12#map=12/33.3638/43.7803","Maplink1")</f>
        <v>Maplink1</v>
      </c>
      <c r="AU60" s="20" t="str">
        <f>HYPERLINK("https://www.google.iq/maps/search/+33.3638,43.7803/@33.3638,43.7803,14z?hl=en","Maplink2")</f>
        <v>Maplink2</v>
      </c>
      <c r="AV60" s="20" t="str">
        <f>HYPERLINK("http://www.bing.com/maps/?lvl=14&amp;sty=h&amp;cp=33.3638~43.7803&amp;sp=point.33.3638_43.7803","Maplink3")</f>
        <v>Maplink3</v>
      </c>
    </row>
    <row r="61" spans="1:48" x14ac:dyDescent="0.25">
      <c r="A61" s="9">
        <v>31879</v>
      </c>
      <c r="B61" s="10" t="s">
        <v>8</v>
      </c>
      <c r="C61" s="10" t="s">
        <v>94</v>
      </c>
      <c r="D61" s="10" t="s">
        <v>193</v>
      </c>
      <c r="E61" s="10" t="s">
        <v>194</v>
      </c>
      <c r="F61" s="10">
        <v>33.370950000000001</v>
      </c>
      <c r="G61" s="10">
        <v>43.750309999999999</v>
      </c>
      <c r="H61" s="11">
        <v>292</v>
      </c>
      <c r="I61" s="11">
        <v>1752</v>
      </c>
      <c r="J61" s="11">
        <v>292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>
        <v>292</v>
      </c>
      <c r="AD61" s="11"/>
      <c r="AE61" s="11"/>
      <c r="AF61" s="11"/>
      <c r="AG61" s="11"/>
      <c r="AH61" s="11"/>
      <c r="AI61" s="11"/>
      <c r="AJ61" s="11"/>
      <c r="AK61" s="11"/>
      <c r="AL61" s="11"/>
      <c r="AM61" s="11">
        <v>102</v>
      </c>
      <c r="AN61" s="11"/>
      <c r="AO61" s="11"/>
      <c r="AP61" s="11"/>
      <c r="AQ61" s="11"/>
      <c r="AR61" s="11">
        <v>190</v>
      </c>
      <c r="AS61" s="11"/>
      <c r="AT61" s="20" t="str">
        <f>HYPERLINK("http://www.openstreetmap.org/?mlat=33.371&amp;mlon=43.7503&amp;zoom=12#map=12/33.371/43.7503","Maplink1")</f>
        <v>Maplink1</v>
      </c>
      <c r="AU61" s="20" t="str">
        <f>HYPERLINK("https://www.google.iq/maps/search/+33.371,43.7503/@33.371,43.7503,14z?hl=en","Maplink2")</f>
        <v>Maplink2</v>
      </c>
      <c r="AV61" s="20" t="str">
        <f>HYPERLINK("http://www.bing.com/maps/?lvl=14&amp;sty=h&amp;cp=33.371~43.7503&amp;sp=point.33.371_43.7503","Maplink3")</f>
        <v>Maplink3</v>
      </c>
    </row>
    <row r="62" spans="1:48" x14ac:dyDescent="0.25">
      <c r="A62" s="9">
        <v>121</v>
      </c>
      <c r="B62" s="10" t="s">
        <v>8</v>
      </c>
      <c r="C62" s="10" t="s">
        <v>94</v>
      </c>
      <c r="D62" s="10" t="s">
        <v>195</v>
      </c>
      <c r="E62" s="10" t="s">
        <v>196</v>
      </c>
      <c r="F62" s="10">
        <v>33.345350000000003</v>
      </c>
      <c r="G62" s="10">
        <v>43.783430000000003</v>
      </c>
      <c r="H62" s="11">
        <v>1770</v>
      </c>
      <c r="I62" s="11">
        <v>10620</v>
      </c>
      <c r="J62" s="11">
        <v>1451</v>
      </c>
      <c r="K62" s="11"/>
      <c r="L62" s="11"/>
      <c r="M62" s="11"/>
      <c r="N62" s="11"/>
      <c r="O62" s="11"/>
      <c r="P62" s="11">
        <v>199</v>
      </c>
      <c r="Q62" s="11"/>
      <c r="R62" s="11">
        <v>120</v>
      </c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>
        <v>1550</v>
      </c>
      <c r="AD62" s="11"/>
      <c r="AE62" s="11"/>
      <c r="AF62" s="11"/>
      <c r="AG62" s="11"/>
      <c r="AH62" s="11"/>
      <c r="AI62" s="11">
        <v>220</v>
      </c>
      <c r="AJ62" s="11"/>
      <c r="AK62" s="11"/>
      <c r="AL62" s="11"/>
      <c r="AM62" s="11">
        <v>544</v>
      </c>
      <c r="AN62" s="11"/>
      <c r="AO62" s="11"/>
      <c r="AP62" s="11">
        <v>120</v>
      </c>
      <c r="AQ62" s="11">
        <v>706</v>
      </c>
      <c r="AR62" s="11">
        <v>400</v>
      </c>
      <c r="AS62" s="11"/>
      <c r="AT62" s="20" t="str">
        <f>HYPERLINK("http://www.openstreetmap.org/?mlat=33.3454&amp;mlon=43.7834&amp;zoom=12#map=12/33.3454/43.7834","Maplink1")</f>
        <v>Maplink1</v>
      </c>
      <c r="AU62" s="20" t="str">
        <f>HYPERLINK("https://www.google.iq/maps/search/+33.3454,43.7834/@33.3454,43.7834,14z?hl=en","Maplink2")</f>
        <v>Maplink2</v>
      </c>
      <c r="AV62" s="20" t="str">
        <f>HYPERLINK("http://www.bing.com/maps/?lvl=14&amp;sty=h&amp;cp=33.3454~43.7834&amp;sp=point.33.3454_43.7834","Maplink3")</f>
        <v>Maplink3</v>
      </c>
    </row>
    <row r="63" spans="1:48" x14ac:dyDescent="0.25">
      <c r="A63" s="9">
        <v>146</v>
      </c>
      <c r="B63" s="10" t="s">
        <v>8</v>
      </c>
      <c r="C63" s="10" t="s">
        <v>94</v>
      </c>
      <c r="D63" s="10" t="s">
        <v>197</v>
      </c>
      <c r="E63" s="10" t="s">
        <v>198</v>
      </c>
      <c r="F63" s="10">
        <v>33.368560000000002</v>
      </c>
      <c r="G63" s="10">
        <v>43.958629999999999</v>
      </c>
      <c r="H63" s="11">
        <v>701</v>
      </c>
      <c r="I63" s="11">
        <v>4206</v>
      </c>
      <c r="J63" s="11">
        <v>112</v>
      </c>
      <c r="K63" s="11"/>
      <c r="L63" s="11">
        <v>445</v>
      </c>
      <c r="M63" s="11"/>
      <c r="N63" s="11"/>
      <c r="O63" s="11"/>
      <c r="P63" s="11">
        <v>144</v>
      </c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>
        <v>701</v>
      </c>
      <c r="AD63" s="11"/>
      <c r="AE63" s="11"/>
      <c r="AF63" s="11"/>
      <c r="AG63" s="11"/>
      <c r="AH63" s="11"/>
      <c r="AI63" s="11"/>
      <c r="AJ63" s="11"/>
      <c r="AK63" s="11"/>
      <c r="AL63" s="11"/>
      <c r="AM63" s="11">
        <v>100</v>
      </c>
      <c r="AN63" s="11">
        <v>192</v>
      </c>
      <c r="AO63" s="11"/>
      <c r="AP63" s="11"/>
      <c r="AQ63" s="11">
        <v>409</v>
      </c>
      <c r="AR63" s="11"/>
      <c r="AS63" s="11"/>
      <c r="AT63" s="20" t="str">
        <f>HYPERLINK("http://www.openstreetmap.org/?mlat=33.3686&amp;mlon=43.9586&amp;zoom=12#map=12/33.3686/43.9586","Maplink1")</f>
        <v>Maplink1</v>
      </c>
      <c r="AU63" s="20" t="str">
        <f>HYPERLINK("https://www.google.iq/maps/search/+33.3686,43.9586/@33.3686,43.9586,14z?hl=en","Maplink2")</f>
        <v>Maplink2</v>
      </c>
      <c r="AV63" s="20" t="str">
        <f>HYPERLINK("http://www.bing.com/maps/?lvl=14&amp;sty=h&amp;cp=33.3686~43.9586&amp;sp=point.33.3686_43.9586","Maplink3")</f>
        <v>Maplink3</v>
      </c>
    </row>
    <row r="64" spans="1:48" x14ac:dyDescent="0.25">
      <c r="A64" s="9">
        <v>24314</v>
      </c>
      <c r="B64" s="10" t="s">
        <v>8</v>
      </c>
      <c r="C64" s="10" t="s">
        <v>199</v>
      </c>
      <c r="D64" s="10" t="s">
        <v>200</v>
      </c>
      <c r="E64" s="10" t="s">
        <v>201</v>
      </c>
      <c r="F64" s="10">
        <v>34.084608000000003</v>
      </c>
      <c r="G64" s="10">
        <v>42.352733999999998</v>
      </c>
      <c r="H64" s="11">
        <v>429</v>
      </c>
      <c r="I64" s="11">
        <v>2574</v>
      </c>
      <c r="J64" s="11"/>
      <c r="K64" s="11"/>
      <c r="L64" s="11">
        <v>278</v>
      </c>
      <c r="M64" s="11"/>
      <c r="N64" s="11"/>
      <c r="O64" s="11"/>
      <c r="P64" s="11"/>
      <c r="Q64" s="11"/>
      <c r="R64" s="11">
        <v>98</v>
      </c>
      <c r="S64" s="11"/>
      <c r="T64" s="11"/>
      <c r="U64" s="11"/>
      <c r="V64" s="11"/>
      <c r="W64" s="11"/>
      <c r="X64" s="11">
        <v>53</v>
      </c>
      <c r="Y64" s="11"/>
      <c r="Z64" s="11"/>
      <c r="AA64" s="11"/>
      <c r="AB64" s="11"/>
      <c r="AC64" s="11">
        <v>429</v>
      </c>
      <c r="AD64" s="11"/>
      <c r="AE64" s="11"/>
      <c r="AF64" s="11"/>
      <c r="AG64" s="11"/>
      <c r="AH64" s="11"/>
      <c r="AI64" s="11"/>
      <c r="AJ64" s="11"/>
      <c r="AK64" s="11"/>
      <c r="AL64" s="11"/>
      <c r="AM64" s="11">
        <v>59</v>
      </c>
      <c r="AN64" s="11">
        <v>98</v>
      </c>
      <c r="AO64" s="11"/>
      <c r="AP64" s="11">
        <v>53</v>
      </c>
      <c r="AQ64" s="11">
        <v>219</v>
      </c>
      <c r="AR64" s="11"/>
      <c r="AS64" s="11"/>
      <c r="AT64" s="20" t="str">
        <f>HYPERLINK("http://www.openstreetmap.org/?mlat=34.0846&amp;mlon=42.3527&amp;zoom=12#map=12/34.0846/42.3527","Maplink1")</f>
        <v>Maplink1</v>
      </c>
      <c r="AU64" s="20" t="str">
        <f>HYPERLINK("https://www.google.iq/maps/search/+34.0846,42.3527/@34.0846,42.3527,14z?hl=en","Maplink2")</f>
        <v>Maplink2</v>
      </c>
      <c r="AV64" s="20" t="str">
        <f>HYPERLINK("http://www.bing.com/maps/?lvl=14&amp;sty=h&amp;cp=34.0846~42.3527&amp;sp=point.34.0846_42.3527","Maplink3")</f>
        <v>Maplink3</v>
      </c>
    </row>
    <row r="65" spans="1:48" x14ac:dyDescent="0.25">
      <c r="A65" s="9">
        <v>23824</v>
      </c>
      <c r="B65" s="10" t="s">
        <v>8</v>
      </c>
      <c r="C65" s="10" t="s">
        <v>199</v>
      </c>
      <c r="D65" s="10" t="s">
        <v>202</v>
      </c>
      <c r="E65" s="10" t="s">
        <v>203</v>
      </c>
      <c r="F65" s="10">
        <v>34.080579999999998</v>
      </c>
      <c r="G65" s="10">
        <v>42.363410000000002</v>
      </c>
      <c r="H65" s="11">
        <v>617</v>
      </c>
      <c r="I65" s="11">
        <v>3702</v>
      </c>
      <c r="J65" s="11"/>
      <c r="K65" s="11"/>
      <c r="L65" s="11">
        <v>226</v>
      </c>
      <c r="M65" s="11"/>
      <c r="N65" s="11"/>
      <c r="O65" s="11"/>
      <c r="P65" s="11">
        <v>75</v>
      </c>
      <c r="Q65" s="11"/>
      <c r="R65" s="11">
        <v>316</v>
      </c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>
        <v>617</v>
      </c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>
        <v>301</v>
      </c>
      <c r="AO65" s="11"/>
      <c r="AP65" s="11">
        <v>256</v>
      </c>
      <c r="AQ65" s="11">
        <v>60</v>
      </c>
      <c r="AR65" s="11"/>
      <c r="AS65" s="11"/>
      <c r="AT65" s="20" t="str">
        <f>HYPERLINK("http://www.openstreetmap.org/?mlat=34.0806&amp;mlon=42.3634&amp;zoom=12#map=12/34.0806/42.3634","Maplink1")</f>
        <v>Maplink1</v>
      </c>
      <c r="AU65" s="20" t="str">
        <f>HYPERLINK("https://www.google.iq/maps/search/+34.0806,42.3634/@34.0806,42.3634,14z?hl=en","Maplink2")</f>
        <v>Maplink2</v>
      </c>
      <c r="AV65" s="20" t="str">
        <f>HYPERLINK("http://www.bing.com/maps/?lvl=14&amp;sty=h&amp;cp=34.0806~42.3634&amp;sp=point.34.0806_42.3634","Maplink3")</f>
        <v>Maplink3</v>
      </c>
    </row>
    <row r="66" spans="1:48" x14ac:dyDescent="0.25">
      <c r="A66" s="9">
        <v>23822</v>
      </c>
      <c r="B66" s="10" t="s">
        <v>8</v>
      </c>
      <c r="C66" s="10" t="s">
        <v>199</v>
      </c>
      <c r="D66" s="10" t="s">
        <v>204</v>
      </c>
      <c r="E66" s="10" t="s">
        <v>205</v>
      </c>
      <c r="F66" s="10">
        <v>34.006810000000002</v>
      </c>
      <c r="G66" s="10">
        <v>42.423760000000001</v>
      </c>
      <c r="H66" s="11">
        <v>467</v>
      </c>
      <c r="I66" s="11">
        <v>2802</v>
      </c>
      <c r="J66" s="11">
        <v>96</v>
      </c>
      <c r="K66" s="11"/>
      <c r="L66" s="11">
        <v>153</v>
      </c>
      <c r="M66" s="11"/>
      <c r="N66" s="11"/>
      <c r="O66" s="11"/>
      <c r="P66" s="11">
        <v>42</v>
      </c>
      <c r="Q66" s="11"/>
      <c r="R66" s="11">
        <v>176</v>
      </c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>
        <v>467</v>
      </c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>
        <v>42</v>
      </c>
      <c r="AO66" s="11"/>
      <c r="AP66" s="11">
        <v>82</v>
      </c>
      <c r="AQ66" s="11">
        <v>343</v>
      </c>
      <c r="AR66" s="11"/>
      <c r="AS66" s="11"/>
      <c r="AT66" s="20" t="str">
        <f>HYPERLINK("http://www.openstreetmap.org/?mlat=34.0068&amp;mlon=42.4238&amp;zoom=12#map=12/34.0068/42.4238","Maplink1")</f>
        <v>Maplink1</v>
      </c>
      <c r="AU66" s="20" t="str">
        <f>HYPERLINK("https://www.google.iq/maps/search/+34.0068,42.4238/@34.0068,42.4238,14z?hl=en","Maplink2")</f>
        <v>Maplink2</v>
      </c>
      <c r="AV66" s="20" t="str">
        <f>HYPERLINK("http://www.bing.com/maps/?lvl=14&amp;sty=h&amp;cp=34.0068~42.4238&amp;sp=point.34.0068_42.4238","Maplink3")</f>
        <v>Maplink3</v>
      </c>
    </row>
    <row r="67" spans="1:48" x14ac:dyDescent="0.25">
      <c r="A67" s="9">
        <v>245</v>
      </c>
      <c r="B67" s="10" t="s">
        <v>8</v>
      </c>
      <c r="C67" s="10" t="s">
        <v>199</v>
      </c>
      <c r="D67" s="10" t="s">
        <v>206</v>
      </c>
      <c r="E67" s="10" t="s">
        <v>207</v>
      </c>
      <c r="F67" s="10">
        <v>34.107810000000001</v>
      </c>
      <c r="G67" s="10">
        <v>42.381230000000002</v>
      </c>
      <c r="H67" s="11">
        <v>133</v>
      </c>
      <c r="I67" s="11">
        <v>798</v>
      </c>
      <c r="J67" s="11"/>
      <c r="K67" s="11"/>
      <c r="L67" s="11">
        <v>133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>
        <v>133</v>
      </c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>
        <v>133</v>
      </c>
      <c r="AQ67" s="11"/>
      <c r="AR67" s="11"/>
      <c r="AS67" s="11"/>
      <c r="AT67" s="20" t="str">
        <f>HYPERLINK("http://www.openstreetmap.org/?mlat=34.1078&amp;mlon=42.3812&amp;zoom=12#map=12/34.1078/42.3812","Maplink1")</f>
        <v>Maplink1</v>
      </c>
      <c r="AU67" s="20" t="str">
        <f>HYPERLINK("https://www.google.iq/maps/search/+34.1078,42.3812/@34.1078,42.3812,14z?hl=en","Maplink2")</f>
        <v>Maplink2</v>
      </c>
      <c r="AV67" s="20" t="str">
        <f>HYPERLINK("http://www.bing.com/maps/?lvl=14&amp;sty=h&amp;cp=34.1078~42.3812&amp;sp=point.34.1078_42.3812","Maplink3")</f>
        <v>Maplink3</v>
      </c>
    </row>
    <row r="68" spans="1:48" x14ac:dyDescent="0.25">
      <c r="A68" s="9">
        <v>23823</v>
      </c>
      <c r="B68" s="10" t="s">
        <v>8</v>
      </c>
      <c r="C68" s="10" t="s">
        <v>199</v>
      </c>
      <c r="D68" s="10" t="s">
        <v>208</v>
      </c>
      <c r="E68" s="10" t="s">
        <v>209</v>
      </c>
      <c r="F68" s="10">
        <v>34.086067</v>
      </c>
      <c r="G68" s="10">
        <v>42.362758999999997</v>
      </c>
      <c r="H68" s="11">
        <v>577</v>
      </c>
      <c r="I68" s="11">
        <v>3462</v>
      </c>
      <c r="J68" s="11">
        <v>85</v>
      </c>
      <c r="K68" s="11"/>
      <c r="L68" s="11">
        <v>122</v>
      </c>
      <c r="M68" s="11"/>
      <c r="N68" s="11"/>
      <c r="O68" s="11"/>
      <c r="P68" s="11">
        <v>198</v>
      </c>
      <c r="Q68" s="11"/>
      <c r="R68" s="11">
        <v>72</v>
      </c>
      <c r="S68" s="11"/>
      <c r="T68" s="11"/>
      <c r="U68" s="11"/>
      <c r="V68" s="11"/>
      <c r="W68" s="11"/>
      <c r="X68" s="11">
        <v>100</v>
      </c>
      <c r="Y68" s="11"/>
      <c r="Z68" s="11"/>
      <c r="AA68" s="11"/>
      <c r="AB68" s="11"/>
      <c r="AC68" s="11">
        <v>577</v>
      </c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>
        <v>149</v>
      </c>
      <c r="AO68" s="11"/>
      <c r="AP68" s="11">
        <v>328</v>
      </c>
      <c r="AQ68" s="11">
        <v>100</v>
      </c>
      <c r="AR68" s="11"/>
      <c r="AS68" s="11"/>
      <c r="AT68" s="20" t="str">
        <f>HYPERLINK("http://www.openstreetmap.org/?mlat=34.0861&amp;mlon=42.3628&amp;zoom=12#map=12/34.0861/42.3628","Maplink1")</f>
        <v>Maplink1</v>
      </c>
      <c r="AU68" s="20" t="str">
        <f>HYPERLINK("https://www.google.iq/maps/search/+34.0861,42.3628/@34.0861,42.3628,14z?hl=en","Maplink2")</f>
        <v>Maplink2</v>
      </c>
      <c r="AV68" s="20" t="str">
        <f>HYPERLINK("http://www.bing.com/maps/?lvl=14&amp;sty=h&amp;cp=34.0861~42.3628&amp;sp=point.34.0861_42.3628","Maplink3")</f>
        <v>Maplink3</v>
      </c>
    </row>
    <row r="69" spans="1:48" x14ac:dyDescent="0.25">
      <c r="A69" s="9">
        <v>237</v>
      </c>
      <c r="B69" s="10" t="s">
        <v>8</v>
      </c>
      <c r="C69" s="10" t="s">
        <v>199</v>
      </c>
      <c r="D69" s="10" t="s">
        <v>210</v>
      </c>
      <c r="E69" s="10" t="s">
        <v>211</v>
      </c>
      <c r="F69" s="10">
        <v>34.129339000000002</v>
      </c>
      <c r="G69" s="10">
        <v>42.373987</v>
      </c>
      <c r="H69" s="11">
        <v>351</v>
      </c>
      <c r="I69" s="11">
        <v>2106</v>
      </c>
      <c r="J69" s="11"/>
      <c r="K69" s="11"/>
      <c r="L69" s="11">
        <v>109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>
        <v>75</v>
      </c>
      <c r="Y69" s="11">
        <v>167</v>
      </c>
      <c r="Z69" s="11"/>
      <c r="AA69" s="11"/>
      <c r="AB69" s="11"/>
      <c r="AC69" s="11">
        <v>351</v>
      </c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>
        <v>75</v>
      </c>
      <c r="AO69" s="11"/>
      <c r="AP69" s="11">
        <v>276</v>
      </c>
      <c r="AQ69" s="11"/>
      <c r="AR69" s="11"/>
      <c r="AS69" s="11"/>
      <c r="AT69" s="20" t="str">
        <f>HYPERLINK("http://www.openstreetmap.org/?mlat=34.1293&amp;mlon=42.374&amp;zoom=12#map=12/34.1293/42.374","Maplink1")</f>
        <v>Maplink1</v>
      </c>
      <c r="AU69" s="20" t="str">
        <f>HYPERLINK("https://www.google.iq/maps/search/+34.1293,42.374/@34.1293,42.374,14z?hl=en","Maplink2")</f>
        <v>Maplink2</v>
      </c>
      <c r="AV69" s="20" t="str">
        <f>HYPERLINK("http://www.bing.com/maps/?lvl=14&amp;sty=h&amp;cp=34.1293~42.374&amp;sp=point.34.1293_42.374","Maplink3")</f>
        <v>Maplink3</v>
      </c>
    </row>
    <row r="70" spans="1:48" x14ac:dyDescent="0.25">
      <c r="A70" s="9">
        <v>23819</v>
      </c>
      <c r="B70" s="10" t="s">
        <v>8</v>
      </c>
      <c r="C70" s="10" t="s">
        <v>199</v>
      </c>
      <c r="D70" s="10" t="s">
        <v>212</v>
      </c>
      <c r="E70" s="10" t="s">
        <v>213</v>
      </c>
      <c r="F70" s="10">
        <v>34.086398000000003</v>
      </c>
      <c r="G70" s="10">
        <v>42.369182000000002</v>
      </c>
      <c r="H70" s="11">
        <v>368</v>
      </c>
      <c r="I70" s="11">
        <v>2208</v>
      </c>
      <c r="J70" s="11"/>
      <c r="K70" s="11"/>
      <c r="L70" s="11">
        <v>179</v>
      </c>
      <c r="M70" s="11"/>
      <c r="N70" s="11"/>
      <c r="O70" s="11"/>
      <c r="P70" s="11">
        <v>24</v>
      </c>
      <c r="Q70" s="11"/>
      <c r="R70" s="11">
        <v>165</v>
      </c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>
        <v>368</v>
      </c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>
        <v>185</v>
      </c>
      <c r="AO70" s="11"/>
      <c r="AP70" s="11">
        <v>183</v>
      </c>
      <c r="AQ70" s="11"/>
      <c r="AR70" s="11"/>
      <c r="AS70" s="11"/>
      <c r="AT70" s="20" t="str">
        <f>HYPERLINK("http://www.openstreetmap.org/?mlat=34.0864&amp;mlon=42.3692&amp;zoom=12#map=12/34.0864/42.3692","Maplink1")</f>
        <v>Maplink1</v>
      </c>
      <c r="AU70" s="20" t="str">
        <f>HYPERLINK("https://www.google.iq/maps/search/+34.0864,42.3692/@34.0864,42.3692,14z?hl=en","Maplink2")</f>
        <v>Maplink2</v>
      </c>
      <c r="AV70" s="20" t="str">
        <f>HYPERLINK("http://www.bing.com/maps/?lvl=14&amp;sty=h&amp;cp=34.0864~42.3692&amp;sp=point.34.0864_42.3692","Maplink3")</f>
        <v>Maplink3</v>
      </c>
    </row>
    <row r="71" spans="1:48" x14ac:dyDescent="0.25">
      <c r="A71" s="9">
        <v>239</v>
      </c>
      <c r="B71" s="10" t="s">
        <v>8</v>
      </c>
      <c r="C71" s="10" t="s">
        <v>199</v>
      </c>
      <c r="D71" s="10" t="s">
        <v>214</v>
      </c>
      <c r="E71" s="10" t="s">
        <v>215</v>
      </c>
      <c r="F71" s="10">
        <v>34.140894000000003</v>
      </c>
      <c r="G71" s="10">
        <v>42.379010000000001</v>
      </c>
      <c r="H71" s="11">
        <v>247</v>
      </c>
      <c r="I71" s="11">
        <v>1482</v>
      </c>
      <c r="J71" s="11"/>
      <c r="K71" s="11"/>
      <c r="L71" s="11">
        <v>79</v>
      </c>
      <c r="M71" s="11"/>
      <c r="N71" s="11"/>
      <c r="O71" s="11"/>
      <c r="P71" s="11">
        <v>119</v>
      </c>
      <c r="Q71" s="11"/>
      <c r="R71" s="11"/>
      <c r="S71" s="11"/>
      <c r="T71" s="11"/>
      <c r="U71" s="11"/>
      <c r="V71" s="11"/>
      <c r="W71" s="11"/>
      <c r="X71" s="11"/>
      <c r="Y71" s="11">
        <v>49</v>
      </c>
      <c r="Z71" s="11"/>
      <c r="AA71" s="11"/>
      <c r="AB71" s="11"/>
      <c r="AC71" s="11">
        <v>247</v>
      </c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>
        <v>119</v>
      </c>
      <c r="AO71" s="11"/>
      <c r="AP71" s="11">
        <v>128</v>
      </c>
      <c r="AQ71" s="11"/>
      <c r="AR71" s="11"/>
      <c r="AS71" s="11"/>
      <c r="AT71" s="20" t="str">
        <f>HYPERLINK("http://www.openstreetmap.org/?mlat=34.1409&amp;mlon=42.379&amp;zoom=12#map=12/34.1409/42.379","Maplink1")</f>
        <v>Maplink1</v>
      </c>
      <c r="AU71" s="20" t="str">
        <f>HYPERLINK("https://www.google.iq/maps/search/+34.1409,42.379/@34.1409,42.379,14z?hl=en","Maplink2")</f>
        <v>Maplink2</v>
      </c>
      <c r="AV71" s="20" t="str">
        <f>HYPERLINK("http://www.bing.com/maps/?lvl=14&amp;sty=h&amp;cp=34.1409~42.379&amp;sp=point.34.1409_42.379","Maplink3")</f>
        <v>Maplink3</v>
      </c>
    </row>
    <row r="72" spans="1:48" x14ac:dyDescent="0.25">
      <c r="A72" s="9">
        <v>23820</v>
      </c>
      <c r="B72" s="10" t="s">
        <v>8</v>
      </c>
      <c r="C72" s="10" t="s">
        <v>199</v>
      </c>
      <c r="D72" s="10" t="s">
        <v>216</v>
      </c>
      <c r="E72" s="10" t="s">
        <v>217</v>
      </c>
      <c r="F72" s="10">
        <v>34.072929999999999</v>
      </c>
      <c r="G72" s="10">
        <v>42.365861000000002</v>
      </c>
      <c r="H72" s="11">
        <v>254</v>
      </c>
      <c r="I72" s="11">
        <v>1524</v>
      </c>
      <c r="J72" s="11"/>
      <c r="K72" s="11"/>
      <c r="L72" s="11">
        <v>150</v>
      </c>
      <c r="M72" s="11"/>
      <c r="N72" s="11"/>
      <c r="O72" s="11"/>
      <c r="P72" s="11">
        <v>56</v>
      </c>
      <c r="Q72" s="11"/>
      <c r="R72" s="11">
        <v>48</v>
      </c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>
        <v>254</v>
      </c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>
        <v>48</v>
      </c>
      <c r="AO72" s="11"/>
      <c r="AP72" s="11">
        <v>119</v>
      </c>
      <c r="AQ72" s="11">
        <v>87</v>
      </c>
      <c r="AR72" s="11"/>
      <c r="AS72" s="11"/>
      <c r="AT72" s="20" t="str">
        <f>HYPERLINK("http://www.openstreetmap.org/?mlat=34.0729&amp;mlon=42.3659&amp;zoom=12#map=12/34.0729/42.3659","Maplink1")</f>
        <v>Maplink1</v>
      </c>
      <c r="AU72" s="20" t="str">
        <f>HYPERLINK("https://www.google.iq/maps/search/+34.0729,42.3659/@34.0729,42.3659,14z?hl=en","Maplink2")</f>
        <v>Maplink2</v>
      </c>
      <c r="AV72" s="20" t="str">
        <f>HYPERLINK("http://www.bing.com/maps/?lvl=14&amp;sty=h&amp;cp=34.0729~42.3659&amp;sp=point.34.0729_42.3659","Maplink3")</f>
        <v>Maplink3</v>
      </c>
    </row>
    <row r="73" spans="1:48" x14ac:dyDescent="0.25">
      <c r="A73" s="9">
        <v>100</v>
      </c>
      <c r="B73" s="10" t="s">
        <v>8</v>
      </c>
      <c r="C73" s="10" t="s">
        <v>218</v>
      </c>
      <c r="D73" s="10" t="s">
        <v>219</v>
      </c>
      <c r="E73" s="10" t="s">
        <v>220</v>
      </c>
      <c r="F73" s="10">
        <v>33.639360000000003</v>
      </c>
      <c r="G73" s="10">
        <v>42.812829999999998</v>
      </c>
      <c r="H73" s="11">
        <v>1044</v>
      </c>
      <c r="I73" s="11">
        <v>6264</v>
      </c>
      <c r="J73" s="11">
        <v>748</v>
      </c>
      <c r="K73" s="11"/>
      <c r="L73" s="11">
        <v>148</v>
      </c>
      <c r="M73" s="11"/>
      <c r="N73" s="11"/>
      <c r="O73" s="11"/>
      <c r="P73" s="11"/>
      <c r="Q73" s="11"/>
      <c r="R73" s="11">
        <v>148</v>
      </c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1044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>
        <v>616</v>
      </c>
      <c r="AO73" s="11"/>
      <c r="AP73" s="11">
        <v>323</v>
      </c>
      <c r="AQ73" s="11"/>
      <c r="AR73" s="11">
        <v>105</v>
      </c>
      <c r="AS73" s="11"/>
      <c r="AT73" s="20" t="str">
        <f>HYPERLINK("http://www.openstreetmap.org/?mlat=33.6394&amp;mlon=42.8128&amp;zoom=12#map=12/33.6394/42.8128","Maplink1")</f>
        <v>Maplink1</v>
      </c>
      <c r="AU73" s="20" t="str">
        <f>HYPERLINK("https://www.google.iq/maps/search/+33.6394,42.8128/@33.6394,42.8128,14z?hl=en","Maplink2")</f>
        <v>Maplink2</v>
      </c>
      <c r="AV73" s="20" t="str">
        <f>HYPERLINK("http://www.bing.com/maps/?lvl=14&amp;sty=h&amp;cp=33.6394~42.8128&amp;sp=point.33.6394_42.8128","Maplink3")</f>
        <v>Maplink3</v>
      </c>
    </row>
    <row r="74" spans="1:48" x14ac:dyDescent="0.25">
      <c r="A74" s="9">
        <v>163</v>
      </c>
      <c r="B74" s="10" t="s">
        <v>8</v>
      </c>
      <c r="C74" s="10" t="s">
        <v>218</v>
      </c>
      <c r="D74" s="10" t="s">
        <v>221</v>
      </c>
      <c r="E74" s="10" t="s">
        <v>222</v>
      </c>
      <c r="F74" s="10">
        <v>33.649721</v>
      </c>
      <c r="G74" s="10">
        <v>42.829619000000001</v>
      </c>
      <c r="H74" s="11">
        <v>730</v>
      </c>
      <c r="I74" s="11">
        <v>4380</v>
      </c>
      <c r="J74" s="11">
        <v>160</v>
      </c>
      <c r="K74" s="11"/>
      <c r="L74" s="11">
        <v>440</v>
      </c>
      <c r="M74" s="11"/>
      <c r="N74" s="11"/>
      <c r="O74" s="11"/>
      <c r="P74" s="11">
        <v>85</v>
      </c>
      <c r="Q74" s="11"/>
      <c r="R74" s="11"/>
      <c r="S74" s="11"/>
      <c r="T74" s="11"/>
      <c r="U74" s="11"/>
      <c r="V74" s="11"/>
      <c r="W74" s="11"/>
      <c r="X74" s="11"/>
      <c r="Y74" s="11">
        <v>45</v>
      </c>
      <c r="Z74" s="11"/>
      <c r="AA74" s="11"/>
      <c r="AB74" s="11"/>
      <c r="AC74" s="11">
        <v>730</v>
      </c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>
        <v>85</v>
      </c>
      <c r="AO74" s="11"/>
      <c r="AP74" s="11">
        <v>600</v>
      </c>
      <c r="AQ74" s="11">
        <v>45</v>
      </c>
      <c r="AR74" s="11"/>
      <c r="AS74" s="11"/>
      <c r="AT74" s="20" t="str">
        <f>HYPERLINK("http://www.openstreetmap.org/?mlat=33.6497&amp;mlon=42.8296&amp;zoom=12#map=12/33.6497/42.8296","Maplink1")</f>
        <v>Maplink1</v>
      </c>
      <c r="AU74" s="20" t="str">
        <f>HYPERLINK("https://www.google.iq/maps/search/+33.6497,42.8296/@33.6497,42.8296,14z?hl=en","Maplink2")</f>
        <v>Maplink2</v>
      </c>
      <c r="AV74" s="20" t="str">
        <f>HYPERLINK("http://www.bing.com/maps/?lvl=14&amp;sty=h&amp;cp=33.6497~42.8296&amp;sp=point.33.6497_42.8296","Maplink3")</f>
        <v>Maplink3</v>
      </c>
    </row>
    <row r="75" spans="1:48" x14ac:dyDescent="0.25">
      <c r="A75" s="9">
        <v>21323</v>
      </c>
      <c r="B75" s="10" t="s">
        <v>8</v>
      </c>
      <c r="C75" s="10" t="s">
        <v>218</v>
      </c>
      <c r="D75" s="10" t="s">
        <v>223</v>
      </c>
      <c r="E75" s="10" t="s">
        <v>224</v>
      </c>
      <c r="F75" s="10">
        <v>33.920729999999999</v>
      </c>
      <c r="G75" s="10">
        <v>42.523380000000003</v>
      </c>
      <c r="H75" s="11">
        <v>660</v>
      </c>
      <c r="I75" s="11">
        <v>3960</v>
      </c>
      <c r="J75" s="11"/>
      <c r="K75" s="11"/>
      <c r="L75" s="11">
        <v>313</v>
      </c>
      <c r="M75" s="11"/>
      <c r="N75" s="11"/>
      <c r="O75" s="11"/>
      <c r="P75" s="11">
        <v>272</v>
      </c>
      <c r="Q75" s="11"/>
      <c r="R75" s="11"/>
      <c r="S75" s="11"/>
      <c r="T75" s="11"/>
      <c r="U75" s="11"/>
      <c r="V75" s="11"/>
      <c r="W75" s="11"/>
      <c r="X75" s="11"/>
      <c r="Y75" s="11">
        <v>75</v>
      </c>
      <c r="Z75" s="11"/>
      <c r="AA75" s="11"/>
      <c r="AB75" s="11"/>
      <c r="AC75" s="11">
        <v>660</v>
      </c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>
        <v>98</v>
      </c>
      <c r="AO75" s="11"/>
      <c r="AP75" s="11">
        <v>215</v>
      </c>
      <c r="AQ75" s="11">
        <v>347</v>
      </c>
      <c r="AR75" s="11"/>
      <c r="AS75" s="11"/>
      <c r="AT75" s="20" t="str">
        <f>HYPERLINK("http://www.openstreetmap.org/?mlat=33.9207&amp;mlon=42.5234&amp;zoom=12#map=12/33.9207/42.5234","Maplink1")</f>
        <v>Maplink1</v>
      </c>
      <c r="AU75" s="20" t="str">
        <f>HYPERLINK("https://www.google.iq/maps/search/+33.9207,42.5234/@33.9207,42.5234,14z?hl=en","Maplink2")</f>
        <v>Maplink2</v>
      </c>
      <c r="AV75" s="20" t="str">
        <f>HYPERLINK("http://www.bing.com/maps/?lvl=14&amp;sty=h&amp;cp=33.9207~42.5234&amp;sp=point.33.9207_42.5234","Maplink3")</f>
        <v>Maplink3</v>
      </c>
    </row>
    <row r="76" spans="1:48" x14ac:dyDescent="0.25">
      <c r="A76" s="9">
        <v>152</v>
      </c>
      <c r="B76" s="10" t="s">
        <v>8</v>
      </c>
      <c r="C76" s="10" t="s">
        <v>218</v>
      </c>
      <c r="D76" s="10" t="s">
        <v>225</v>
      </c>
      <c r="E76" s="10" t="s">
        <v>226</v>
      </c>
      <c r="F76" s="10">
        <v>33.553959999999996</v>
      </c>
      <c r="G76" s="10">
        <v>42.901949999999999</v>
      </c>
      <c r="H76" s="11">
        <v>427</v>
      </c>
      <c r="I76" s="11">
        <v>2562</v>
      </c>
      <c r="J76" s="11">
        <v>89</v>
      </c>
      <c r="K76" s="11"/>
      <c r="L76" s="11">
        <v>143</v>
      </c>
      <c r="M76" s="11"/>
      <c r="N76" s="11"/>
      <c r="O76" s="11"/>
      <c r="P76" s="11"/>
      <c r="Q76" s="11"/>
      <c r="R76" s="11">
        <v>127</v>
      </c>
      <c r="S76" s="11"/>
      <c r="T76" s="11"/>
      <c r="U76" s="11"/>
      <c r="V76" s="11"/>
      <c r="W76" s="11"/>
      <c r="X76" s="11"/>
      <c r="Y76" s="11">
        <v>68</v>
      </c>
      <c r="Z76" s="11"/>
      <c r="AA76" s="11"/>
      <c r="AB76" s="11"/>
      <c r="AC76" s="11">
        <v>427</v>
      </c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>
        <v>211</v>
      </c>
      <c r="AQ76" s="11">
        <v>216</v>
      </c>
      <c r="AR76" s="11"/>
      <c r="AS76" s="11"/>
      <c r="AT76" s="20" t="str">
        <f>HYPERLINK("http://www.openstreetmap.org/?mlat=33.554&amp;mlon=42.9019&amp;zoom=12#map=12/33.554/42.9019","Maplink1")</f>
        <v>Maplink1</v>
      </c>
      <c r="AU76" s="20" t="str">
        <f>HYPERLINK("https://www.google.iq/maps/search/+33.554,42.9019/@33.554,42.9019,14z?hl=en","Maplink2")</f>
        <v>Maplink2</v>
      </c>
      <c r="AV76" s="20" t="str">
        <f>HYPERLINK("http://www.bing.com/maps/?lvl=14&amp;sty=h&amp;cp=33.554~42.9019&amp;sp=point.33.554_42.9019","Maplink3")</f>
        <v>Maplink3</v>
      </c>
    </row>
    <row r="77" spans="1:48" x14ac:dyDescent="0.25">
      <c r="A77" s="9">
        <v>21408</v>
      </c>
      <c r="B77" s="10" t="s">
        <v>8</v>
      </c>
      <c r="C77" s="10" t="s">
        <v>218</v>
      </c>
      <c r="D77" s="10" t="s">
        <v>227</v>
      </c>
      <c r="E77" s="10" t="s">
        <v>228</v>
      </c>
      <c r="F77" s="10">
        <v>33.877760000000002</v>
      </c>
      <c r="G77" s="10">
        <v>42.529769999999999</v>
      </c>
      <c r="H77" s="11">
        <v>414</v>
      </c>
      <c r="I77" s="11">
        <v>2484</v>
      </c>
      <c r="J77" s="11"/>
      <c r="K77" s="11"/>
      <c r="L77" s="11">
        <v>182</v>
      </c>
      <c r="M77" s="11"/>
      <c r="N77" s="11"/>
      <c r="O77" s="11"/>
      <c r="P77" s="11">
        <v>158</v>
      </c>
      <c r="Q77" s="11"/>
      <c r="R77" s="11"/>
      <c r="S77" s="11"/>
      <c r="T77" s="11"/>
      <c r="U77" s="11"/>
      <c r="V77" s="11"/>
      <c r="W77" s="11"/>
      <c r="X77" s="11"/>
      <c r="Y77" s="11">
        <v>74</v>
      </c>
      <c r="Z77" s="11"/>
      <c r="AA77" s="11"/>
      <c r="AB77" s="11"/>
      <c r="AC77" s="11">
        <v>414</v>
      </c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>
        <v>166</v>
      </c>
      <c r="AO77" s="11"/>
      <c r="AP77" s="11">
        <v>166</v>
      </c>
      <c r="AQ77" s="11">
        <v>82</v>
      </c>
      <c r="AR77" s="11"/>
      <c r="AS77" s="11"/>
      <c r="AT77" s="20" t="str">
        <f>HYPERLINK("http://www.openstreetmap.org/?mlat=33.8778&amp;mlon=42.5298&amp;zoom=12#map=12/33.8778/42.5298","Maplink1")</f>
        <v>Maplink1</v>
      </c>
      <c r="AU77" s="20" t="str">
        <f>HYPERLINK("https://www.google.iq/maps/search/+33.8778,42.5298/@33.8778,42.5298,14z?hl=en","Maplink2")</f>
        <v>Maplink2</v>
      </c>
      <c r="AV77" s="20" t="str">
        <f>HYPERLINK("http://www.bing.com/maps/?lvl=14&amp;sty=h&amp;cp=33.8778~42.5298&amp;sp=point.33.8778_42.5298","Maplink3")</f>
        <v>Maplink3</v>
      </c>
    </row>
    <row r="78" spans="1:48" x14ac:dyDescent="0.25">
      <c r="A78" s="9">
        <v>24113</v>
      </c>
      <c r="B78" s="10" t="s">
        <v>8</v>
      </c>
      <c r="C78" s="10" t="s">
        <v>218</v>
      </c>
      <c r="D78" s="10" t="s">
        <v>229</v>
      </c>
      <c r="E78" s="10" t="s">
        <v>230</v>
      </c>
      <c r="F78" s="10">
        <v>33.641350000000003</v>
      </c>
      <c r="G78" s="10">
        <v>42.828389999999999</v>
      </c>
      <c r="H78" s="11">
        <v>1067</v>
      </c>
      <c r="I78" s="11">
        <v>6402</v>
      </c>
      <c r="J78" s="11">
        <v>428</v>
      </c>
      <c r="K78" s="11"/>
      <c r="L78" s="11">
        <v>455</v>
      </c>
      <c r="M78" s="11"/>
      <c r="N78" s="11"/>
      <c r="O78" s="11"/>
      <c r="P78" s="11">
        <v>23</v>
      </c>
      <c r="Q78" s="11"/>
      <c r="R78" s="11"/>
      <c r="S78" s="11"/>
      <c r="T78" s="11"/>
      <c r="U78" s="11"/>
      <c r="V78" s="11"/>
      <c r="W78" s="11"/>
      <c r="X78" s="11"/>
      <c r="Y78" s="11">
        <v>161</v>
      </c>
      <c r="Z78" s="11"/>
      <c r="AA78" s="11"/>
      <c r="AB78" s="11"/>
      <c r="AC78" s="11">
        <v>956</v>
      </c>
      <c r="AD78" s="11"/>
      <c r="AE78" s="11"/>
      <c r="AF78" s="11"/>
      <c r="AG78" s="11"/>
      <c r="AH78" s="11"/>
      <c r="AI78" s="11">
        <v>111</v>
      </c>
      <c r="AJ78" s="11"/>
      <c r="AK78" s="11"/>
      <c r="AL78" s="11"/>
      <c r="AM78" s="11">
        <v>90</v>
      </c>
      <c r="AN78" s="11">
        <v>111</v>
      </c>
      <c r="AO78" s="11"/>
      <c r="AP78" s="11">
        <v>549</v>
      </c>
      <c r="AQ78" s="11">
        <v>73</v>
      </c>
      <c r="AR78" s="11">
        <v>244</v>
      </c>
      <c r="AS78" s="11"/>
      <c r="AT78" s="20" t="str">
        <f>HYPERLINK("http://www.openstreetmap.org/?mlat=33.6414&amp;mlon=42.8284&amp;zoom=12#map=12/33.6414/42.8284","Maplink1")</f>
        <v>Maplink1</v>
      </c>
      <c r="AU78" s="20" t="str">
        <f>HYPERLINK("https://www.google.iq/maps/search/+33.6414,42.8284/@33.6414,42.8284,14z?hl=en","Maplink2")</f>
        <v>Maplink2</v>
      </c>
      <c r="AV78" s="20" t="str">
        <f>HYPERLINK("http://www.bing.com/maps/?lvl=14&amp;sty=h&amp;cp=33.6414~42.8284&amp;sp=point.33.6414_42.8284","Maplink3")</f>
        <v>Maplink3</v>
      </c>
    </row>
    <row r="79" spans="1:48" x14ac:dyDescent="0.25">
      <c r="A79" s="9">
        <v>24114</v>
      </c>
      <c r="B79" s="10" t="s">
        <v>8</v>
      </c>
      <c r="C79" s="10" t="s">
        <v>218</v>
      </c>
      <c r="D79" s="10" t="s">
        <v>231</v>
      </c>
      <c r="E79" s="10" t="s">
        <v>232</v>
      </c>
      <c r="F79" s="10">
        <v>33.594520000000003</v>
      </c>
      <c r="G79" s="10">
        <v>42.614319999999999</v>
      </c>
      <c r="H79" s="11">
        <v>433</v>
      </c>
      <c r="I79" s="11">
        <v>2598</v>
      </c>
      <c r="J79" s="11">
        <v>364</v>
      </c>
      <c r="K79" s="11"/>
      <c r="L79" s="11"/>
      <c r="M79" s="11"/>
      <c r="N79" s="11"/>
      <c r="O79" s="11"/>
      <c r="P79" s="11"/>
      <c r="Q79" s="11"/>
      <c r="R79" s="11">
        <v>69</v>
      </c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>
        <v>433</v>
      </c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>
        <v>242</v>
      </c>
      <c r="AO79" s="11"/>
      <c r="AP79" s="11">
        <v>119</v>
      </c>
      <c r="AQ79" s="11">
        <v>72</v>
      </c>
      <c r="AR79" s="11"/>
      <c r="AS79" s="11"/>
      <c r="AT79" s="20" t="str">
        <f>HYPERLINK("http://www.openstreetmap.org/?mlat=33.5945&amp;mlon=42.6143&amp;zoom=12#map=12/33.5945/42.6143","Maplink1")</f>
        <v>Maplink1</v>
      </c>
      <c r="AU79" s="20" t="str">
        <f>HYPERLINK("https://www.google.iq/maps/search/+33.5945,42.6143/@33.5945,42.6143,14z?hl=en","Maplink2")</f>
        <v>Maplink2</v>
      </c>
      <c r="AV79" s="20" t="str">
        <f>HYPERLINK("http://www.bing.com/maps/?lvl=14&amp;sty=h&amp;cp=33.5945~42.6143&amp;sp=point.33.5945_42.6143","Maplink3")</f>
        <v>Maplink3</v>
      </c>
    </row>
    <row r="80" spans="1:48" x14ac:dyDescent="0.25">
      <c r="A80" s="9">
        <v>23832</v>
      </c>
      <c r="B80" s="10" t="s">
        <v>8</v>
      </c>
      <c r="C80" s="10" t="s">
        <v>218</v>
      </c>
      <c r="D80" s="10" t="s">
        <v>233</v>
      </c>
      <c r="E80" s="10" t="s">
        <v>234</v>
      </c>
      <c r="F80" s="10">
        <v>33.629280000000001</v>
      </c>
      <c r="G80" s="10">
        <v>42.797409999999999</v>
      </c>
      <c r="H80" s="11">
        <v>122</v>
      </c>
      <c r="I80" s="11">
        <v>732</v>
      </c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>
        <v>122</v>
      </c>
      <c r="Z80" s="11"/>
      <c r="AA80" s="11"/>
      <c r="AB80" s="11"/>
      <c r="AC80" s="11">
        <v>122</v>
      </c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>
        <v>122</v>
      </c>
      <c r="AR80" s="11"/>
      <c r="AS80" s="11"/>
      <c r="AT80" s="20" t="str">
        <f>HYPERLINK("http://www.openstreetmap.org/?mlat=33.6293&amp;mlon=42.7974&amp;zoom=12#map=12/33.6293/42.7974","Maplink1")</f>
        <v>Maplink1</v>
      </c>
      <c r="AU80" s="20" t="str">
        <f>HYPERLINK("https://www.google.iq/maps/search/+33.6293,42.7974/@33.6293,42.7974,14z?hl=en","Maplink2")</f>
        <v>Maplink2</v>
      </c>
      <c r="AV80" s="20" t="str">
        <f>HYPERLINK("http://www.bing.com/maps/?lvl=14&amp;sty=h&amp;cp=33.6293~42.7974&amp;sp=point.33.6293_42.7974","Maplink3")</f>
        <v>Maplink3</v>
      </c>
    </row>
    <row r="81" spans="1:48" x14ac:dyDescent="0.25">
      <c r="A81" s="9">
        <v>23890</v>
      </c>
      <c r="B81" s="10" t="s">
        <v>8</v>
      </c>
      <c r="C81" s="10" t="s">
        <v>218</v>
      </c>
      <c r="D81" s="10" t="s">
        <v>235</v>
      </c>
      <c r="E81" s="10" t="s">
        <v>236</v>
      </c>
      <c r="F81" s="10">
        <v>33.873609999999999</v>
      </c>
      <c r="G81" s="10">
        <v>42.522480000000002</v>
      </c>
      <c r="H81" s="11">
        <v>118</v>
      </c>
      <c r="I81" s="11">
        <v>708</v>
      </c>
      <c r="J81" s="11"/>
      <c r="K81" s="11"/>
      <c r="L81" s="11">
        <v>118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>
        <v>118</v>
      </c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>
        <v>118</v>
      </c>
      <c r="AR81" s="11"/>
      <c r="AS81" s="11"/>
      <c r="AT81" s="20" t="str">
        <f>HYPERLINK("http://www.openstreetmap.org/?mlat=33.8736&amp;mlon=42.5225&amp;zoom=12#map=12/33.8736/42.5225","Maplink1")</f>
        <v>Maplink1</v>
      </c>
      <c r="AU81" s="20" t="str">
        <f>HYPERLINK("https://www.google.iq/maps/search/+33.8736,42.5225/@33.8736,42.5225,14z?hl=en","Maplink2")</f>
        <v>Maplink2</v>
      </c>
      <c r="AV81" s="20" t="str">
        <f>HYPERLINK("http://www.bing.com/maps/?lvl=14&amp;sty=h&amp;cp=33.8736~42.5225&amp;sp=point.33.8736_42.5225","Maplink3")</f>
        <v>Maplink3</v>
      </c>
    </row>
    <row r="82" spans="1:48" x14ac:dyDescent="0.25">
      <c r="A82" s="9">
        <v>135</v>
      </c>
      <c r="B82" s="10" t="s">
        <v>8</v>
      </c>
      <c r="C82" s="10" t="s">
        <v>218</v>
      </c>
      <c r="D82" s="10" t="s">
        <v>237</v>
      </c>
      <c r="E82" s="10" t="s">
        <v>238</v>
      </c>
      <c r="F82" s="10">
        <v>33.632710000000003</v>
      </c>
      <c r="G82" s="10">
        <v>42.848387000000002</v>
      </c>
      <c r="H82" s="11">
        <v>421</v>
      </c>
      <c r="I82" s="11">
        <v>2526</v>
      </c>
      <c r="J82" s="11">
        <v>211</v>
      </c>
      <c r="K82" s="11"/>
      <c r="L82" s="11">
        <v>111</v>
      </c>
      <c r="M82" s="11"/>
      <c r="N82" s="11"/>
      <c r="O82" s="11"/>
      <c r="P82" s="11"/>
      <c r="Q82" s="11"/>
      <c r="R82" s="11">
        <v>60</v>
      </c>
      <c r="S82" s="11"/>
      <c r="T82" s="11"/>
      <c r="U82" s="11"/>
      <c r="V82" s="11"/>
      <c r="W82" s="11"/>
      <c r="X82" s="11"/>
      <c r="Y82" s="11">
        <v>39</v>
      </c>
      <c r="Z82" s="11"/>
      <c r="AA82" s="11"/>
      <c r="AB82" s="11"/>
      <c r="AC82" s="11">
        <v>421</v>
      </c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>
        <v>60</v>
      </c>
      <c r="AO82" s="11"/>
      <c r="AP82" s="11">
        <v>144</v>
      </c>
      <c r="AQ82" s="11">
        <v>217</v>
      </c>
      <c r="AR82" s="11"/>
      <c r="AS82" s="11"/>
      <c r="AT82" s="20" t="str">
        <f>HYPERLINK("http://www.openstreetmap.org/?mlat=33.6327&amp;mlon=42.8484&amp;zoom=12#map=12/33.6327/42.8484","Maplink1")</f>
        <v>Maplink1</v>
      </c>
      <c r="AU82" s="20" t="str">
        <f>HYPERLINK("https://www.google.iq/maps/search/+33.6327,42.8484/@33.6327,42.8484,14z?hl=en","Maplink2")</f>
        <v>Maplink2</v>
      </c>
      <c r="AV82" s="20" t="str">
        <f>HYPERLINK("http://www.bing.com/maps/?lvl=14&amp;sty=h&amp;cp=33.6327~42.8484&amp;sp=point.33.6327_42.8484","Maplink3")</f>
        <v>Maplink3</v>
      </c>
    </row>
    <row r="83" spans="1:48" x14ac:dyDescent="0.25">
      <c r="A83" s="9">
        <v>23827</v>
      </c>
      <c r="B83" s="10" t="s">
        <v>8</v>
      </c>
      <c r="C83" s="10" t="s">
        <v>218</v>
      </c>
      <c r="D83" s="10" t="s">
        <v>239</v>
      </c>
      <c r="E83" s="10" t="s">
        <v>240</v>
      </c>
      <c r="F83" s="10">
        <v>33.642130000000002</v>
      </c>
      <c r="G83" s="10">
        <v>42.825870000000002</v>
      </c>
      <c r="H83" s="11">
        <v>1622</v>
      </c>
      <c r="I83" s="11">
        <v>9732</v>
      </c>
      <c r="J83" s="11">
        <v>544</v>
      </c>
      <c r="K83" s="11"/>
      <c r="L83" s="11">
        <v>518</v>
      </c>
      <c r="M83" s="11"/>
      <c r="N83" s="11"/>
      <c r="O83" s="11"/>
      <c r="P83" s="11">
        <v>311</v>
      </c>
      <c r="Q83" s="11"/>
      <c r="R83" s="11">
        <v>115</v>
      </c>
      <c r="S83" s="11"/>
      <c r="T83" s="11"/>
      <c r="U83" s="11"/>
      <c r="V83" s="11"/>
      <c r="W83" s="11"/>
      <c r="X83" s="11"/>
      <c r="Y83" s="11">
        <v>134</v>
      </c>
      <c r="Z83" s="11"/>
      <c r="AA83" s="11"/>
      <c r="AB83" s="11"/>
      <c r="AC83" s="11">
        <v>1622</v>
      </c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>
        <v>495</v>
      </c>
      <c r="AO83" s="11"/>
      <c r="AP83" s="11">
        <v>444</v>
      </c>
      <c r="AQ83" s="11">
        <v>426</v>
      </c>
      <c r="AR83" s="11">
        <v>257</v>
      </c>
      <c r="AS83" s="11"/>
      <c r="AT83" s="20" t="str">
        <f>HYPERLINK("http://www.openstreetmap.org/?mlat=33.6421&amp;mlon=42.8259&amp;zoom=12#map=12/33.6421/42.8259","Maplink1")</f>
        <v>Maplink1</v>
      </c>
      <c r="AU83" s="20" t="str">
        <f>HYPERLINK("https://www.google.iq/maps/search/+33.6421,42.8259/@33.6421,42.8259,14z?hl=en","Maplink2")</f>
        <v>Maplink2</v>
      </c>
      <c r="AV83" s="20" t="str">
        <f>HYPERLINK("http://www.bing.com/maps/?lvl=14&amp;sty=h&amp;cp=33.6421~42.8259&amp;sp=point.33.6421_42.8259","Maplink3")</f>
        <v>Maplink3</v>
      </c>
    </row>
    <row r="84" spans="1:48" x14ac:dyDescent="0.25">
      <c r="A84" s="9">
        <v>23831</v>
      </c>
      <c r="B84" s="10" t="s">
        <v>8</v>
      </c>
      <c r="C84" s="10" t="s">
        <v>218</v>
      </c>
      <c r="D84" s="10" t="s">
        <v>241</v>
      </c>
      <c r="E84" s="10" t="s">
        <v>242</v>
      </c>
      <c r="F84" s="10">
        <v>33.629689999999997</v>
      </c>
      <c r="G84" s="10">
        <v>42.818939999999998</v>
      </c>
      <c r="H84" s="11">
        <v>756</v>
      </c>
      <c r="I84" s="11">
        <v>4536</v>
      </c>
      <c r="J84" s="11">
        <v>216</v>
      </c>
      <c r="K84" s="11"/>
      <c r="L84" s="11">
        <v>192</v>
      </c>
      <c r="M84" s="11"/>
      <c r="N84" s="11"/>
      <c r="O84" s="11"/>
      <c r="P84" s="11">
        <v>64</v>
      </c>
      <c r="Q84" s="11"/>
      <c r="R84" s="11">
        <v>110</v>
      </c>
      <c r="S84" s="11"/>
      <c r="T84" s="11"/>
      <c r="U84" s="11"/>
      <c r="V84" s="11"/>
      <c r="W84" s="11"/>
      <c r="X84" s="11"/>
      <c r="Y84" s="11">
        <v>174</v>
      </c>
      <c r="Z84" s="11"/>
      <c r="AA84" s="11"/>
      <c r="AB84" s="11"/>
      <c r="AC84" s="11">
        <v>756</v>
      </c>
      <c r="AD84" s="11"/>
      <c r="AE84" s="11"/>
      <c r="AF84" s="11"/>
      <c r="AG84" s="11"/>
      <c r="AH84" s="11"/>
      <c r="AI84" s="11"/>
      <c r="AJ84" s="11"/>
      <c r="AK84" s="11"/>
      <c r="AL84" s="11"/>
      <c r="AM84" s="11">
        <v>120</v>
      </c>
      <c r="AN84" s="11">
        <v>174</v>
      </c>
      <c r="AO84" s="11"/>
      <c r="AP84" s="11">
        <v>159</v>
      </c>
      <c r="AQ84" s="11">
        <v>182</v>
      </c>
      <c r="AR84" s="11">
        <v>121</v>
      </c>
      <c r="AS84" s="11"/>
      <c r="AT84" s="20" t="str">
        <f>HYPERLINK("http://www.openstreetmap.org/?mlat=33.6297&amp;mlon=42.8189&amp;zoom=12#map=12/33.6297/42.8189","Maplink1")</f>
        <v>Maplink1</v>
      </c>
      <c r="AU84" s="20" t="str">
        <f>HYPERLINK("https://www.google.iq/maps/search/+33.6297,42.8189/@33.6297,42.8189,14z?hl=en","Maplink2")</f>
        <v>Maplink2</v>
      </c>
      <c r="AV84" s="20" t="str">
        <f>HYPERLINK("http://www.bing.com/maps/?lvl=14&amp;sty=h&amp;cp=33.6297~42.8189&amp;sp=point.33.6297_42.8189","Maplink3")</f>
        <v>Maplink3</v>
      </c>
    </row>
    <row r="85" spans="1:48" x14ac:dyDescent="0.25">
      <c r="A85" s="9">
        <v>21264</v>
      </c>
      <c r="B85" s="10" t="s">
        <v>8</v>
      </c>
      <c r="C85" s="10" t="s">
        <v>218</v>
      </c>
      <c r="D85" s="10" t="s">
        <v>243</v>
      </c>
      <c r="E85" s="10" t="s">
        <v>244</v>
      </c>
      <c r="F85" s="10">
        <v>33.648940000000003</v>
      </c>
      <c r="G85" s="10">
        <v>42.805219999999998</v>
      </c>
      <c r="H85" s="11">
        <v>1108</v>
      </c>
      <c r="I85" s="11">
        <v>6648</v>
      </c>
      <c r="J85" s="11">
        <v>688</v>
      </c>
      <c r="K85" s="11"/>
      <c r="L85" s="11">
        <v>47</v>
      </c>
      <c r="M85" s="11"/>
      <c r="N85" s="11"/>
      <c r="O85" s="11"/>
      <c r="P85" s="11">
        <v>35</v>
      </c>
      <c r="Q85" s="11"/>
      <c r="R85" s="11">
        <v>260</v>
      </c>
      <c r="S85" s="11"/>
      <c r="T85" s="11"/>
      <c r="U85" s="11"/>
      <c r="V85" s="11"/>
      <c r="W85" s="11"/>
      <c r="X85" s="11"/>
      <c r="Y85" s="11">
        <v>78</v>
      </c>
      <c r="Z85" s="11"/>
      <c r="AA85" s="11"/>
      <c r="AB85" s="11"/>
      <c r="AC85" s="11">
        <v>1108</v>
      </c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>
        <v>113</v>
      </c>
      <c r="AO85" s="11"/>
      <c r="AP85" s="11">
        <v>439</v>
      </c>
      <c r="AQ85" s="11">
        <v>136</v>
      </c>
      <c r="AR85" s="11">
        <v>420</v>
      </c>
      <c r="AS85" s="11"/>
      <c r="AT85" s="20" t="str">
        <f>HYPERLINK("http://www.openstreetmap.org/?mlat=33.6489&amp;mlon=42.8052&amp;zoom=12#map=12/33.6489/42.8052","Maplink1")</f>
        <v>Maplink1</v>
      </c>
      <c r="AU85" s="20" t="str">
        <f>HYPERLINK("https://www.google.iq/maps/search/+33.6489,42.8052/@33.6489,42.8052,14z?hl=en","Maplink2")</f>
        <v>Maplink2</v>
      </c>
      <c r="AV85" s="20" t="str">
        <f>HYPERLINK("http://www.bing.com/maps/?lvl=14&amp;sty=h&amp;cp=33.6489~42.8052&amp;sp=point.33.6489_42.8052","Maplink3")</f>
        <v>Maplink3</v>
      </c>
    </row>
    <row r="86" spans="1:48" x14ac:dyDescent="0.25">
      <c r="A86" s="9">
        <v>218</v>
      </c>
      <c r="B86" s="10" t="s">
        <v>8</v>
      </c>
      <c r="C86" s="10" t="s">
        <v>218</v>
      </c>
      <c r="D86" s="10" t="s">
        <v>245</v>
      </c>
      <c r="E86" s="10" t="s">
        <v>246</v>
      </c>
      <c r="F86" s="10">
        <v>33.632010000000001</v>
      </c>
      <c r="G86" s="10">
        <v>42.830120000000001</v>
      </c>
      <c r="H86" s="11">
        <v>845</v>
      </c>
      <c r="I86" s="11">
        <v>5070</v>
      </c>
      <c r="J86" s="11"/>
      <c r="K86" s="11"/>
      <c r="L86" s="11">
        <v>580</v>
      </c>
      <c r="M86" s="11"/>
      <c r="N86" s="11"/>
      <c r="O86" s="11"/>
      <c r="P86" s="11"/>
      <c r="Q86" s="11"/>
      <c r="R86" s="11">
        <v>202</v>
      </c>
      <c r="S86" s="11"/>
      <c r="T86" s="11"/>
      <c r="U86" s="11"/>
      <c r="V86" s="11"/>
      <c r="W86" s="11"/>
      <c r="X86" s="11"/>
      <c r="Y86" s="11">
        <v>63</v>
      </c>
      <c r="Z86" s="11"/>
      <c r="AA86" s="11"/>
      <c r="AB86" s="11"/>
      <c r="AC86" s="11">
        <v>845</v>
      </c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>
        <v>444</v>
      </c>
      <c r="AQ86" s="11">
        <v>401</v>
      </c>
      <c r="AR86" s="11"/>
      <c r="AS86" s="11"/>
      <c r="AT86" s="20" t="str">
        <f>HYPERLINK("http://www.openstreetmap.org/?mlat=33.632&amp;mlon=42.8301&amp;zoom=12#map=12/33.632/42.8301","Maplink1")</f>
        <v>Maplink1</v>
      </c>
      <c r="AU86" s="20" t="str">
        <f>HYPERLINK("https://www.google.iq/maps/search/+33.632,42.8301/@33.632,42.8301,14z?hl=en","Maplink2")</f>
        <v>Maplink2</v>
      </c>
      <c r="AV86" s="20" t="str">
        <f>HYPERLINK("http://www.bing.com/maps/?lvl=14&amp;sty=h&amp;cp=33.632~42.8301&amp;sp=point.33.632_42.8301","Maplink3")</f>
        <v>Maplink3</v>
      </c>
    </row>
    <row r="87" spans="1:48" x14ac:dyDescent="0.25">
      <c r="A87" s="9">
        <v>23838</v>
      </c>
      <c r="B87" s="10" t="s">
        <v>8</v>
      </c>
      <c r="C87" s="10" t="s">
        <v>218</v>
      </c>
      <c r="D87" s="10" t="s">
        <v>247</v>
      </c>
      <c r="E87" s="10" t="s">
        <v>248</v>
      </c>
      <c r="F87" s="10">
        <v>33.589885000000002</v>
      </c>
      <c r="G87" s="10">
        <v>42.618650000000002</v>
      </c>
      <c r="H87" s="11">
        <v>906</v>
      </c>
      <c r="I87" s="11">
        <v>5436</v>
      </c>
      <c r="J87" s="11">
        <v>689</v>
      </c>
      <c r="K87" s="11"/>
      <c r="L87" s="11"/>
      <c r="M87" s="11"/>
      <c r="N87" s="11"/>
      <c r="O87" s="11"/>
      <c r="P87" s="11">
        <v>190</v>
      </c>
      <c r="Q87" s="11"/>
      <c r="R87" s="11"/>
      <c r="S87" s="11"/>
      <c r="T87" s="11"/>
      <c r="U87" s="11"/>
      <c r="V87" s="11"/>
      <c r="W87" s="11"/>
      <c r="X87" s="11"/>
      <c r="Y87" s="11">
        <v>27</v>
      </c>
      <c r="Z87" s="11"/>
      <c r="AA87" s="11"/>
      <c r="AB87" s="11"/>
      <c r="AC87" s="11">
        <v>894</v>
      </c>
      <c r="AD87" s="11"/>
      <c r="AE87" s="11"/>
      <c r="AF87" s="11"/>
      <c r="AG87" s="11"/>
      <c r="AH87" s="11"/>
      <c r="AI87" s="11">
        <v>12</v>
      </c>
      <c r="AJ87" s="11"/>
      <c r="AK87" s="11"/>
      <c r="AL87" s="11"/>
      <c r="AM87" s="11"/>
      <c r="AN87" s="11">
        <v>217</v>
      </c>
      <c r="AO87" s="11"/>
      <c r="AP87" s="11">
        <v>471</v>
      </c>
      <c r="AQ87" s="11">
        <v>100</v>
      </c>
      <c r="AR87" s="11">
        <v>118</v>
      </c>
      <c r="AS87" s="11"/>
      <c r="AT87" s="20" t="str">
        <f>HYPERLINK("http://www.openstreetmap.org/?mlat=33.5899&amp;mlon=42.6187&amp;zoom=12#map=12/33.5899/42.6187","Maplink1")</f>
        <v>Maplink1</v>
      </c>
      <c r="AU87" s="20" t="str">
        <f>HYPERLINK("https://www.google.iq/maps/search/+33.5899,42.6187/@33.5899,42.6187,14z?hl=en","Maplink2")</f>
        <v>Maplink2</v>
      </c>
      <c r="AV87" s="20" t="str">
        <f>HYPERLINK("http://www.bing.com/maps/?lvl=14&amp;sty=h&amp;cp=33.5899~42.6187&amp;sp=point.33.5899_42.6187","Maplink3")</f>
        <v>Maplink3</v>
      </c>
    </row>
    <row r="88" spans="1:48" x14ac:dyDescent="0.25">
      <c r="A88" s="9">
        <v>228</v>
      </c>
      <c r="B88" s="10" t="s">
        <v>8</v>
      </c>
      <c r="C88" s="10" t="s">
        <v>218</v>
      </c>
      <c r="D88" s="10" t="s">
        <v>249</v>
      </c>
      <c r="E88" s="10" t="s">
        <v>250</v>
      </c>
      <c r="F88" s="10">
        <v>33.640709999999999</v>
      </c>
      <c r="G88" s="10">
        <v>42.822029999999998</v>
      </c>
      <c r="H88" s="11">
        <v>1498</v>
      </c>
      <c r="I88" s="11">
        <v>8988</v>
      </c>
      <c r="J88" s="11">
        <v>969</v>
      </c>
      <c r="K88" s="11"/>
      <c r="L88" s="11">
        <v>276</v>
      </c>
      <c r="M88" s="11"/>
      <c r="N88" s="11"/>
      <c r="O88" s="11"/>
      <c r="P88" s="11">
        <v>102</v>
      </c>
      <c r="Q88" s="11"/>
      <c r="R88" s="11"/>
      <c r="S88" s="11"/>
      <c r="T88" s="11"/>
      <c r="U88" s="11"/>
      <c r="V88" s="11"/>
      <c r="W88" s="11"/>
      <c r="X88" s="11"/>
      <c r="Y88" s="11">
        <v>151</v>
      </c>
      <c r="Z88" s="11"/>
      <c r="AA88" s="11"/>
      <c r="AB88" s="11"/>
      <c r="AC88" s="11">
        <v>1498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>
        <v>334</v>
      </c>
      <c r="AO88" s="11"/>
      <c r="AP88" s="11">
        <v>472</v>
      </c>
      <c r="AQ88" s="11">
        <v>195</v>
      </c>
      <c r="AR88" s="11">
        <v>497</v>
      </c>
      <c r="AS88" s="11"/>
      <c r="AT88" s="20" t="str">
        <f>HYPERLINK("http://www.openstreetmap.org/?mlat=33.6407&amp;mlon=42.822&amp;zoom=12#map=12/33.6407/42.822","Maplink1")</f>
        <v>Maplink1</v>
      </c>
      <c r="AU88" s="20" t="str">
        <f>HYPERLINK("https://www.google.iq/maps/search/+33.6407,42.822/@33.6407,42.822,14z?hl=en","Maplink2")</f>
        <v>Maplink2</v>
      </c>
      <c r="AV88" s="20" t="str">
        <f>HYPERLINK("http://www.bing.com/maps/?lvl=14&amp;sty=h&amp;cp=33.6407~42.822&amp;sp=point.33.6407_42.822","Maplink3")</f>
        <v>Maplink3</v>
      </c>
    </row>
    <row r="89" spans="1:48" x14ac:dyDescent="0.25">
      <c r="A89" s="9">
        <v>23839</v>
      </c>
      <c r="B89" s="10" t="s">
        <v>8</v>
      </c>
      <c r="C89" s="10" t="s">
        <v>218</v>
      </c>
      <c r="D89" s="10" t="s">
        <v>251</v>
      </c>
      <c r="E89" s="10" t="s">
        <v>252</v>
      </c>
      <c r="F89" s="10">
        <v>33.594890999999997</v>
      </c>
      <c r="G89" s="10">
        <v>42.613263000000003</v>
      </c>
      <c r="H89" s="11">
        <v>1104</v>
      </c>
      <c r="I89" s="11">
        <v>6624</v>
      </c>
      <c r="J89" s="11">
        <v>509</v>
      </c>
      <c r="K89" s="11"/>
      <c r="L89" s="11">
        <v>164</v>
      </c>
      <c r="M89" s="11"/>
      <c r="N89" s="11"/>
      <c r="O89" s="11"/>
      <c r="P89" s="11">
        <v>218</v>
      </c>
      <c r="Q89" s="11"/>
      <c r="R89" s="11">
        <v>130</v>
      </c>
      <c r="S89" s="11"/>
      <c r="T89" s="11"/>
      <c r="U89" s="11"/>
      <c r="V89" s="11"/>
      <c r="W89" s="11"/>
      <c r="X89" s="11"/>
      <c r="Y89" s="11">
        <v>83</v>
      </c>
      <c r="Z89" s="11"/>
      <c r="AA89" s="11"/>
      <c r="AB89" s="11"/>
      <c r="AC89" s="11">
        <v>1104</v>
      </c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>
        <v>301</v>
      </c>
      <c r="AO89" s="11"/>
      <c r="AP89" s="11">
        <v>367</v>
      </c>
      <c r="AQ89" s="11">
        <v>436</v>
      </c>
      <c r="AR89" s="11"/>
      <c r="AS89" s="11"/>
      <c r="AT89" s="20" t="str">
        <f>HYPERLINK("http://www.openstreetmap.org/?mlat=33.5949&amp;mlon=42.6133&amp;zoom=12#map=12/33.5949/42.6133","Maplink1")</f>
        <v>Maplink1</v>
      </c>
      <c r="AU89" s="20" t="str">
        <f>HYPERLINK("https://www.google.iq/maps/search/+33.5949,42.6133/@33.5949,42.6133,14z?hl=en","Maplink2")</f>
        <v>Maplink2</v>
      </c>
      <c r="AV89" s="20" t="str">
        <f>HYPERLINK("http://www.bing.com/maps/?lvl=14&amp;sty=h&amp;cp=33.5949~42.6133&amp;sp=point.33.5949_42.6133","Maplink3")</f>
        <v>Maplink3</v>
      </c>
    </row>
    <row r="90" spans="1:48" x14ac:dyDescent="0.25">
      <c r="A90" s="9">
        <v>29535</v>
      </c>
      <c r="B90" s="10" t="s">
        <v>8</v>
      </c>
      <c r="C90" s="10" t="s">
        <v>218</v>
      </c>
      <c r="D90" s="10" t="s">
        <v>253</v>
      </c>
      <c r="E90" s="10" t="s">
        <v>178</v>
      </c>
      <c r="F90" s="10">
        <v>33.590589999999999</v>
      </c>
      <c r="G90" s="10">
        <v>42.615960000000001</v>
      </c>
      <c r="H90" s="11">
        <v>642</v>
      </c>
      <c r="I90" s="11">
        <v>3852</v>
      </c>
      <c r="J90" s="11">
        <v>292</v>
      </c>
      <c r="K90" s="11"/>
      <c r="L90" s="11">
        <v>225</v>
      </c>
      <c r="M90" s="11"/>
      <c r="N90" s="11"/>
      <c r="O90" s="11"/>
      <c r="P90" s="11">
        <v>49</v>
      </c>
      <c r="Q90" s="11"/>
      <c r="R90" s="11">
        <v>76</v>
      </c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>
        <v>642</v>
      </c>
      <c r="AD90" s="11"/>
      <c r="AE90" s="11"/>
      <c r="AF90" s="11"/>
      <c r="AG90" s="11"/>
      <c r="AH90" s="11"/>
      <c r="AI90" s="11"/>
      <c r="AJ90" s="11"/>
      <c r="AK90" s="11"/>
      <c r="AL90" s="11"/>
      <c r="AM90" s="11">
        <v>337</v>
      </c>
      <c r="AN90" s="11">
        <v>49</v>
      </c>
      <c r="AO90" s="11"/>
      <c r="AP90" s="11">
        <v>256</v>
      </c>
      <c r="AQ90" s="11"/>
      <c r="AR90" s="11"/>
      <c r="AS90" s="11"/>
      <c r="AT90" s="20" t="str">
        <f>HYPERLINK("http://www.openstreetmap.org/?mlat=33.5906&amp;mlon=42.616&amp;zoom=12#map=12/33.5906/42.616","Maplink1")</f>
        <v>Maplink1</v>
      </c>
      <c r="AU90" s="20" t="str">
        <f>HYPERLINK("https://www.google.iq/maps/search/+33.5906,42.616/@33.5906,42.616,14z?hl=en","Maplink2")</f>
        <v>Maplink2</v>
      </c>
      <c r="AV90" s="20" t="str">
        <f>HYPERLINK("http://www.bing.com/maps/?lvl=14&amp;sty=h&amp;cp=33.5906~42.616&amp;sp=point.33.5906_42.616","Maplink3")</f>
        <v>Maplink3</v>
      </c>
    </row>
    <row r="91" spans="1:48" x14ac:dyDescent="0.25">
      <c r="A91" s="9">
        <v>219</v>
      </c>
      <c r="B91" s="10" t="s">
        <v>8</v>
      </c>
      <c r="C91" s="10" t="s">
        <v>218</v>
      </c>
      <c r="D91" s="10" t="s">
        <v>254</v>
      </c>
      <c r="E91" s="10" t="s">
        <v>255</v>
      </c>
      <c r="F91" s="10">
        <v>33.638379999999998</v>
      </c>
      <c r="G91" s="10">
        <v>42.81794</v>
      </c>
      <c r="H91" s="11">
        <v>1315</v>
      </c>
      <c r="I91" s="11">
        <v>7890</v>
      </c>
      <c r="J91" s="11">
        <v>799</v>
      </c>
      <c r="K91" s="11"/>
      <c r="L91" s="11">
        <v>235</v>
      </c>
      <c r="M91" s="11"/>
      <c r="N91" s="11"/>
      <c r="O91" s="11"/>
      <c r="P91" s="11">
        <v>54</v>
      </c>
      <c r="Q91" s="11"/>
      <c r="R91" s="11">
        <v>168</v>
      </c>
      <c r="S91" s="11"/>
      <c r="T91" s="11"/>
      <c r="U91" s="11"/>
      <c r="V91" s="11"/>
      <c r="W91" s="11"/>
      <c r="X91" s="11"/>
      <c r="Y91" s="11">
        <v>59</v>
      </c>
      <c r="Z91" s="11"/>
      <c r="AA91" s="11"/>
      <c r="AB91" s="11"/>
      <c r="AC91" s="11">
        <v>1275</v>
      </c>
      <c r="AD91" s="11"/>
      <c r="AE91" s="11"/>
      <c r="AF91" s="11"/>
      <c r="AG91" s="11"/>
      <c r="AH91" s="11"/>
      <c r="AI91" s="11">
        <v>40</v>
      </c>
      <c r="AJ91" s="11"/>
      <c r="AK91" s="11"/>
      <c r="AL91" s="11"/>
      <c r="AM91" s="11"/>
      <c r="AN91" s="11">
        <v>295</v>
      </c>
      <c r="AO91" s="11"/>
      <c r="AP91" s="11">
        <v>332</v>
      </c>
      <c r="AQ91" s="11">
        <v>221</v>
      </c>
      <c r="AR91" s="11">
        <v>467</v>
      </c>
      <c r="AS91" s="11"/>
      <c r="AT91" s="20" t="str">
        <f>HYPERLINK("http://www.openstreetmap.org/?mlat=33.6384&amp;mlon=42.8179&amp;zoom=12#map=12/33.6384/42.8179","Maplink1")</f>
        <v>Maplink1</v>
      </c>
      <c r="AU91" s="20" t="str">
        <f>HYPERLINK("https://www.google.iq/maps/search/+33.6384,42.8179/@33.6384,42.8179,14z?hl=en","Maplink2")</f>
        <v>Maplink2</v>
      </c>
      <c r="AV91" s="20" t="str">
        <f>HYPERLINK("http://www.bing.com/maps/?lvl=14&amp;sty=h&amp;cp=33.6384~42.8179&amp;sp=point.33.6384_42.8179","Maplink3")</f>
        <v>Maplink3</v>
      </c>
    </row>
    <row r="92" spans="1:48" x14ac:dyDescent="0.25">
      <c r="A92" s="9">
        <v>23885</v>
      </c>
      <c r="B92" s="10" t="s">
        <v>8</v>
      </c>
      <c r="C92" s="10" t="s">
        <v>218</v>
      </c>
      <c r="D92" s="10" t="s">
        <v>256</v>
      </c>
      <c r="E92" s="10" t="s">
        <v>257</v>
      </c>
      <c r="F92" s="10">
        <v>33.62961</v>
      </c>
      <c r="G92" s="10">
        <v>42.845709999999997</v>
      </c>
      <c r="H92" s="11">
        <v>1338</v>
      </c>
      <c r="I92" s="11">
        <v>8028</v>
      </c>
      <c r="J92" s="11">
        <v>254</v>
      </c>
      <c r="K92" s="11"/>
      <c r="L92" s="11">
        <v>346</v>
      </c>
      <c r="M92" s="11"/>
      <c r="N92" s="11"/>
      <c r="O92" s="11"/>
      <c r="P92" s="11">
        <v>189</v>
      </c>
      <c r="Q92" s="11"/>
      <c r="R92" s="11">
        <v>188</v>
      </c>
      <c r="S92" s="11"/>
      <c r="T92" s="11"/>
      <c r="U92" s="11"/>
      <c r="V92" s="11"/>
      <c r="W92" s="11"/>
      <c r="X92" s="11"/>
      <c r="Y92" s="11">
        <v>361</v>
      </c>
      <c r="Z92" s="11"/>
      <c r="AA92" s="11"/>
      <c r="AB92" s="11"/>
      <c r="AC92" s="11">
        <v>1291</v>
      </c>
      <c r="AD92" s="11"/>
      <c r="AE92" s="11"/>
      <c r="AF92" s="11"/>
      <c r="AG92" s="11"/>
      <c r="AH92" s="11"/>
      <c r="AI92" s="11">
        <v>47</v>
      </c>
      <c r="AJ92" s="11"/>
      <c r="AK92" s="11"/>
      <c r="AL92" s="11"/>
      <c r="AM92" s="11"/>
      <c r="AN92" s="11">
        <v>268</v>
      </c>
      <c r="AO92" s="11"/>
      <c r="AP92" s="11">
        <v>337</v>
      </c>
      <c r="AQ92" s="11">
        <v>593</v>
      </c>
      <c r="AR92" s="11">
        <v>140</v>
      </c>
      <c r="AS92" s="11"/>
      <c r="AT92" s="20" t="str">
        <f>HYPERLINK("http://www.openstreetmap.org/?mlat=33.6296&amp;mlon=42.8457&amp;zoom=12#map=12/33.6296/42.8457","Maplink1")</f>
        <v>Maplink1</v>
      </c>
      <c r="AU92" s="20" t="str">
        <f>HYPERLINK("https://www.google.iq/maps/search/+33.6296,42.8457/@33.6296,42.8457,14z?hl=en","Maplink2")</f>
        <v>Maplink2</v>
      </c>
      <c r="AV92" s="20" t="str">
        <f>HYPERLINK("http://www.bing.com/maps/?lvl=14&amp;sty=h&amp;cp=33.6296~42.8457&amp;sp=point.33.6296_42.8457","Maplink3")</f>
        <v>Maplink3</v>
      </c>
    </row>
    <row r="93" spans="1:48" x14ac:dyDescent="0.25">
      <c r="A93" s="9">
        <v>29536</v>
      </c>
      <c r="B93" s="10" t="s">
        <v>8</v>
      </c>
      <c r="C93" s="10" t="s">
        <v>218</v>
      </c>
      <c r="D93" s="10" t="s">
        <v>258</v>
      </c>
      <c r="E93" s="10" t="s">
        <v>259</v>
      </c>
      <c r="F93" s="10">
        <v>33.58811</v>
      </c>
      <c r="G93" s="10">
        <v>42.60783</v>
      </c>
      <c r="H93" s="11">
        <v>742</v>
      </c>
      <c r="I93" s="11">
        <v>4452</v>
      </c>
      <c r="J93" s="11">
        <v>592</v>
      </c>
      <c r="K93" s="11"/>
      <c r="L93" s="11">
        <v>90</v>
      </c>
      <c r="M93" s="11"/>
      <c r="N93" s="11"/>
      <c r="O93" s="11"/>
      <c r="P93" s="11"/>
      <c r="Q93" s="11"/>
      <c r="R93" s="11">
        <v>60</v>
      </c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>
        <v>742</v>
      </c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>
        <v>90</v>
      </c>
      <c r="AO93" s="11"/>
      <c r="AP93" s="11">
        <v>434</v>
      </c>
      <c r="AQ93" s="11">
        <v>218</v>
      </c>
      <c r="AR93" s="11"/>
      <c r="AS93" s="11"/>
      <c r="AT93" s="20" t="str">
        <f>HYPERLINK("http://www.openstreetmap.org/?mlat=33.5881&amp;mlon=42.6078&amp;zoom=12#map=12/33.5881/42.6078","Maplink1")</f>
        <v>Maplink1</v>
      </c>
      <c r="AU93" s="20" t="str">
        <f>HYPERLINK("https://www.google.iq/maps/search/+33.5881,42.6078/@33.5881,42.6078,14z?hl=en","Maplink2")</f>
        <v>Maplink2</v>
      </c>
      <c r="AV93" s="20" t="str">
        <f>HYPERLINK("http://www.bing.com/maps/?lvl=14&amp;sty=h&amp;cp=33.5881~42.6078&amp;sp=point.33.5881_42.6078","Maplink3")</f>
        <v>Maplink3</v>
      </c>
    </row>
    <row r="94" spans="1:48" x14ac:dyDescent="0.25">
      <c r="A94" s="9">
        <v>21231</v>
      </c>
      <c r="B94" s="10" t="s">
        <v>8</v>
      </c>
      <c r="C94" s="10" t="s">
        <v>218</v>
      </c>
      <c r="D94" s="10" t="s">
        <v>260</v>
      </c>
      <c r="E94" s="10" t="s">
        <v>261</v>
      </c>
      <c r="F94" s="10">
        <v>33.636090000000003</v>
      </c>
      <c r="G94" s="10">
        <v>42.836660000000002</v>
      </c>
      <c r="H94" s="11">
        <v>1284</v>
      </c>
      <c r="I94" s="11">
        <v>7704</v>
      </c>
      <c r="J94" s="11">
        <v>314</v>
      </c>
      <c r="K94" s="11"/>
      <c r="L94" s="11">
        <v>325</v>
      </c>
      <c r="M94" s="11"/>
      <c r="N94" s="11"/>
      <c r="O94" s="11"/>
      <c r="P94" s="11">
        <v>139</v>
      </c>
      <c r="Q94" s="11"/>
      <c r="R94" s="11">
        <v>403</v>
      </c>
      <c r="S94" s="11"/>
      <c r="T94" s="11"/>
      <c r="U94" s="11"/>
      <c r="V94" s="11"/>
      <c r="W94" s="11"/>
      <c r="X94" s="11"/>
      <c r="Y94" s="11">
        <v>103</v>
      </c>
      <c r="Z94" s="11"/>
      <c r="AA94" s="11"/>
      <c r="AB94" s="11"/>
      <c r="AC94" s="11">
        <v>1284</v>
      </c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482</v>
      </c>
      <c r="AO94" s="11"/>
      <c r="AP94" s="11">
        <v>405</v>
      </c>
      <c r="AQ94" s="11">
        <v>281</v>
      </c>
      <c r="AR94" s="11">
        <v>116</v>
      </c>
      <c r="AS94" s="11"/>
      <c r="AT94" s="20" t="str">
        <f>HYPERLINK("http://www.openstreetmap.org/?mlat=33.6361&amp;mlon=42.8367&amp;zoom=12#map=12/33.6361/42.8367","Maplink1")</f>
        <v>Maplink1</v>
      </c>
      <c r="AU94" s="20" t="str">
        <f>HYPERLINK("https://www.google.iq/maps/search/+33.6361,42.8367/@33.6361,42.8367,14z?hl=en","Maplink2")</f>
        <v>Maplink2</v>
      </c>
      <c r="AV94" s="20" t="str">
        <f>HYPERLINK("http://www.bing.com/maps/?lvl=14&amp;sty=h&amp;cp=33.6361~42.8367&amp;sp=point.33.6361_42.8367","Maplink3")</f>
        <v>Maplink3</v>
      </c>
    </row>
    <row r="95" spans="1:48" x14ac:dyDescent="0.25">
      <c r="A95" s="9">
        <v>29537</v>
      </c>
      <c r="B95" s="10" t="s">
        <v>8</v>
      </c>
      <c r="C95" s="10" t="s">
        <v>218</v>
      </c>
      <c r="D95" s="10" t="s">
        <v>262</v>
      </c>
      <c r="E95" s="10" t="s">
        <v>263</v>
      </c>
      <c r="F95" s="10">
        <v>33.587470000000003</v>
      </c>
      <c r="G95" s="10">
        <v>42.608139000000001</v>
      </c>
      <c r="H95" s="11">
        <v>995</v>
      </c>
      <c r="I95" s="11">
        <v>5970</v>
      </c>
      <c r="J95" s="11">
        <v>592</v>
      </c>
      <c r="K95" s="11"/>
      <c r="L95" s="11">
        <v>324</v>
      </c>
      <c r="M95" s="11"/>
      <c r="N95" s="11"/>
      <c r="O95" s="11"/>
      <c r="P95" s="11"/>
      <c r="Q95" s="11"/>
      <c r="R95" s="11">
        <v>79</v>
      </c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>
        <v>995</v>
      </c>
      <c r="AD95" s="11"/>
      <c r="AE95" s="11"/>
      <c r="AF95" s="11"/>
      <c r="AG95" s="11"/>
      <c r="AH95" s="11"/>
      <c r="AI95" s="11"/>
      <c r="AJ95" s="11"/>
      <c r="AK95" s="11"/>
      <c r="AL95" s="11"/>
      <c r="AM95" s="11">
        <v>79</v>
      </c>
      <c r="AN95" s="11"/>
      <c r="AO95" s="11"/>
      <c r="AP95" s="11">
        <v>629</v>
      </c>
      <c r="AQ95" s="11">
        <v>287</v>
      </c>
      <c r="AR95" s="11"/>
      <c r="AS95" s="11"/>
      <c r="AT95" s="20" t="str">
        <f>HYPERLINK("http://www.openstreetmap.org/?mlat=33.5875&amp;mlon=42.6081&amp;zoom=12#map=12/33.5875/42.6081","Maplink1")</f>
        <v>Maplink1</v>
      </c>
      <c r="AU95" s="20" t="str">
        <f>HYPERLINK("https://www.google.iq/maps/search/+33.5875,42.6081/@33.5875,42.6081,14z?hl=en","Maplink2")</f>
        <v>Maplink2</v>
      </c>
      <c r="AV95" s="20" t="str">
        <f>HYPERLINK("http://www.bing.com/maps/?lvl=14&amp;sty=h&amp;cp=33.5875~42.6081&amp;sp=point.33.5875_42.6081","Maplink3")</f>
        <v>Maplink3</v>
      </c>
    </row>
    <row r="96" spans="1:48" x14ac:dyDescent="0.25">
      <c r="A96" s="9">
        <v>226</v>
      </c>
      <c r="B96" s="10" t="s">
        <v>8</v>
      </c>
      <c r="C96" s="10" t="s">
        <v>218</v>
      </c>
      <c r="D96" s="10" t="s">
        <v>264</v>
      </c>
      <c r="E96" s="10" t="s">
        <v>265</v>
      </c>
      <c r="F96" s="10">
        <v>33.593353999999998</v>
      </c>
      <c r="G96" s="10">
        <v>42.615312000000003</v>
      </c>
      <c r="H96" s="11">
        <v>879</v>
      </c>
      <c r="I96" s="11">
        <v>5274</v>
      </c>
      <c r="J96" s="11">
        <v>394</v>
      </c>
      <c r="K96" s="11"/>
      <c r="L96" s="11">
        <v>145</v>
      </c>
      <c r="M96" s="11"/>
      <c r="N96" s="11"/>
      <c r="O96" s="11"/>
      <c r="P96" s="11"/>
      <c r="Q96" s="11"/>
      <c r="R96" s="11">
        <v>279</v>
      </c>
      <c r="S96" s="11"/>
      <c r="T96" s="11"/>
      <c r="U96" s="11"/>
      <c r="V96" s="11"/>
      <c r="W96" s="11"/>
      <c r="X96" s="11"/>
      <c r="Y96" s="11">
        <v>61</v>
      </c>
      <c r="Z96" s="11"/>
      <c r="AA96" s="11"/>
      <c r="AB96" s="11"/>
      <c r="AC96" s="11">
        <v>879</v>
      </c>
      <c r="AD96" s="11"/>
      <c r="AE96" s="11"/>
      <c r="AF96" s="11"/>
      <c r="AG96" s="11"/>
      <c r="AH96" s="11"/>
      <c r="AI96" s="11"/>
      <c r="AJ96" s="11"/>
      <c r="AK96" s="11"/>
      <c r="AL96" s="11"/>
      <c r="AM96" s="11">
        <v>61</v>
      </c>
      <c r="AN96" s="11">
        <v>145</v>
      </c>
      <c r="AO96" s="11"/>
      <c r="AP96" s="11">
        <v>497</v>
      </c>
      <c r="AQ96" s="11">
        <v>176</v>
      </c>
      <c r="AR96" s="11"/>
      <c r="AS96" s="11"/>
      <c r="AT96" s="20" t="str">
        <f>HYPERLINK("http://www.openstreetmap.org/?mlat=33.5934&amp;mlon=42.6153&amp;zoom=12#map=12/33.5934/42.6153","Maplink1")</f>
        <v>Maplink1</v>
      </c>
      <c r="AU96" s="20" t="str">
        <f>HYPERLINK("https://www.google.iq/maps/search/+33.5934,42.6153/@33.5934,42.6153,14z?hl=en","Maplink2")</f>
        <v>Maplink2</v>
      </c>
      <c r="AV96" s="20" t="str">
        <f>HYPERLINK("http://www.bing.com/maps/?lvl=14&amp;sty=h&amp;cp=33.5934~42.6153&amp;sp=point.33.5934_42.6153","Maplink3")</f>
        <v>Maplink3</v>
      </c>
    </row>
    <row r="97" spans="1:48" x14ac:dyDescent="0.25">
      <c r="A97" s="9">
        <v>53</v>
      </c>
      <c r="B97" s="10" t="s">
        <v>8</v>
      </c>
      <c r="C97" s="10" t="s">
        <v>218</v>
      </c>
      <c r="D97" s="10" t="s">
        <v>266</v>
      </c>
      <c r="E97" s="10" t="s">
        <v>267</v>
      </c>
      <c r="F97" s="10">
        <v>33.698059999999998</v>
      </c>
      <c r="G97" s="10">
        <v>42.746380000000002</v>
      </c>
      <c r="H97" s="11">
        <v>550</v>
      </c>
      <c r="I97" s="11">
        <v>3300</v>
      </c>
      <c r="J97" s="11">
        <v>258</v>
      </c>
      <c r="K97" s="11"/>
      <c r="L97" s="11">
        <v>292</v>
      </c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>
        <v>550</v>
      </c>
      <c r="AD97" s="11"/>
      <c r="AE97" s="11"/>
      <c r="AF97" s="11"/>
      <c r="AG97" s="11"/>
      <c r="AH97" s="11"/>
      <c r="AI97" s="11"/>
      <c r="AJ97" s="11"/>
      <c r="AK97" s="11"/>
      <c r="AL97" s="11"/>
      <c r="AM97" s="11">
        <v>95</v>
      </c>
      <c r="AN97" s="11">
        <v>197</v>
      </c>
      <c r="AO97" s="11"/>
      <c r="AP97" s="11">
        <v>177</v>
      </c>
      <c r="AQ97" s="11">
        <v>81</v>
      </c>
      <c r="AR97" s="11"/>
      <c r="AS97" s="11"/>
      <c r="AT97" s="20" t="str">
        <f>HYPERLINK("http://www.openstreetmap.org/?mlat=33.6981&amp;mlon=42.7464&amp;zoom=12#map=12/33.6981/42.7464","Maplink1")</f>
        <v>Maplink1</v>
      </c>
      <c r="AU97" s="20" t="str">
        <f>HYPERLINK("https://www.google.iq/maps/search/+33.6981,42.7464/@33.6981,42.7464,14z?hl=en","Maplink2")</f>
        <v>Maplink2</v>
      </c>
      <c r="AV97" s="20" t="str">
        <f>HYPERLINK("http://www.bing.com/maps/?lvl=14&amp;sty=h&amp;cp=33.6981~42.7464&amp;sp=point.33.6981_42.7464","Maplink3")</f>
        <v>Maplink3</v>
      </c>
    </row>
    <row r="98" spans="1:48" x14ac:dyDescent="0.25">
      <c r="A98" s="9">
        <v>23835</v>
      </c>
      <c r="B98" s="10" t="s">
        <v>8</v>
      </c>
      <c r="C98" s="10" t="s">
        <v>218</v>
      </c>
      <c r="D98" s="10" t="s">
        <v>268</v>
      </c>
      <c r="E98" s="10" t="s">
        <v>269</v>
      </c>
      <c r="F98" s="10">
        <v>33.594560000000001</v>
      </c>
      <c r="G98" s="10">
        <v>42.603610000000003</v>
      </c>
      <c r="H98" s="11">
        <v>310</v>
      </c>
      <c r="I98" s="11">
        <v>1860</v>
      </c>
      <c r="J98" s="11">
        <v>310</v>
      </c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>
        <v>310</v>
      </c>
      <c r="AD98" s="11"/>
      <c r="AE98" s="11"/>
      <c r="AF98" s="11"/>
      <c r="AG98" s="11"/>
      <c r="AH98" s="11"/>
      <c r="AI98" s="11"/>
      <c r="AJ98" s="11"/>
      <c r="AK98" s="11"/>
      <c r="AL98" s="11"/>
      <c r="AM98" s="11">
        <v>115</v>
      </c>
      <c r="AN98" s="11"/>
      <c r="AO98" s="11"/>
      <c r="AP98" s="11">
        <v>73</v>
      </c>
      <c r="AQ98" s="11"/>
      <c r="AR98" s="11">
        <v>122</v>
      </c>
      <c r="AS98" s="11"/>
      <c r="AT98" s="20" t="str">
        <f>HYPERLINK("http://www.openstreetmap.org/?mlat=33.5946&amp;mlon=42.6036&amp;zoom=12#map=12/33.5946/42.6036","Maplink1")</f>
        <v>Maplink1</v>
      </c>
      <c r="AU98" s="20" t="str">
        <f>HYPERLINK("https://www.google.iq/maps/search/+33.5946,42.6036/@33.5946,42.6036,14z?hl=en","Maplink2")</f>
        <v>Maplink2</v>
      </c>
      <c r="AV98" s="20" t="str">
        <f>HYPERLINK("http://www.bing.com/maps/?lvl=14&amp;sty=h&amp;cp=33.5946~42.6036&amp;sp=point.33.5946_42.6036","Maplink3")</f>
        <v>Maplink3</v>
      </c>
    </row>
    <row r="99" spans="1:48" x14ac:dyDescent="0.25">
      <c r="A99" s="9">
        <v>5</v>
      </c>
      <c r="B99" s="10" t="s">
        <v>8</v>
      </c>
      <c r="C99" s="10" t="s">
        <v>218</v>
      </c>
      <c r="D99" s="10" t="s">
        <v>270</v>
      </c>
      <c r="E99" s="10" t="s">
        <v>271</v>
      </c>
      <c r="F99" s="10">
        <v>33.594560000000001</v>
      </c>
      <c r="G99" s="10">
        <v>42.613239999999998</v>
      </c>
      <c r="H99" s="11">
        <v>874</v>
      </c>
      <c r="I99" s="11">
        <v>5244</v>
      </c>
      <c r="J99" s="11">
        <v>581</v>
      </c>
      <c r="K99" s="11"/>
      <c r="L99" s="11"/>
      <c r="M99" s="11"/>
      <c r="N99" s="11"/>
      <c r="O99" s="11"/>
      <c r="P99" s="11">
        <v>118</v>
      </c>
      <c r="Q99" s="11"/>
      <c r="R99" s="11"/>
      <c r="S99" s="11"/>
      <c r="T99" s="11"/>
      <c r="U99" s="11"/>
      <c r="V99" s="11"/>
      <c r="W99" s="11"/>
      <c r="X99" s="11"/>
      <c r="Y99" s="11">
        <v>175</v>
      </c>
      <c r="Z99" s="11"/>
      <c r="AA99" s="11"/>
      <c r="AB99" s="11"/>
      <c r="AC99" s="11">
        <v>874</v>
      </c>
      <c r="AD99" s="11"/>
      <c r="AE99" s="11"/>
      <c r="AF99" s="11"/>
      <c r="AG99" s="11"/>
      <c r="AH99" s="11"/>
      <c r="AI99" s="11"/>
      <c r="AJ99" s="11"/>
      <c r="AK99" s="11"/>
      <c r="AL99" s="11"/>
      <c r="AM99" s="11">
        <v>157</v>
      </c>
      <c r="AN99" s="11"/>
      <c r="AO99" s="11"/>
      <c r="AP99" s="11">
        <v>502</v>
      </c>
      <c r="AQ99" s="11"/>
      <c r="AR99" s="11">
        <v>215</v>
      </c>
      <c r="AS99" s="11"/>
      <c r="AT99" s="20" t="str">
        <f>HYPERLINK("http://www.openstreetmap.org/?mlat=33.5946&amp;mlon=42.6132&amp;zoom=12#map=12/33.5946/42.6132","Maplink1")</f>
        <v>Maplink1</v>
      </c>
      <c r="AU99" s="20" t="str">
        <f>HYPERLINK("https://www.google.iq/maps/search/+33.5946,42.6132/@33.5946,42.6132,14z?hl=en","Maplink2")</f>
        <v>Maplink2</v>
      </c>
      <c r="AV99" s="20" t="str">
        <f>HYPERLINK("http://www.bing.com/maps/?lvl=14&amp;sty=h&amp;cp=33.5946~42.6132&amp;sp=point.33.5946_42.6132","Maplink3")</f>
        <v>Maplink3</v>
      </c>
    </row>
    <row r="100" spans="1:48" x14ac:dyDescent="0.25">
      <c r="A100" s="9">
        <v>191</v>
      </c>
      <c r="B100" s="10" t="s">
        <v>8</v>
      </c>
      <c r="C100" s="10" t="s">
        <v>218</v>
      </c>
      <c r="D100" s="10" t="s">
        <v>272</v>
      </c>
      <c r="E100" s="10" t="s">
        <v>273</v>
      </c>
      <c r="F100" s="10">
        <v>33.642949999999999</v>
      </c>
      <c r="G100" s="10">
        <v>42.812649999999998</v>
      </c>
      <c r="H100" s="11">
        <v>1378</v>
      </c>
      <c r="I100" s="11">
        <v>8268</v>
      </c>
      <c r="J100" s="11">
        <v>586</v>
      </c>
      <c r="K100" s="11"/>
      <c r="L100" s="11">
        <v>442</v>
      </c>
      <c r="M100" s="11"/>
      <c r="N100" s="11"/>
      <c r="O100" s="11"/>
      <c r="P100" s="11">
        <v>132</v>
      </c>
      <c r="Q100" s="11"/>
      <c r="R100" s="11">
        <v>96</v>
      </c>
      <c r="S100" s="11"/>
      <c r="T100" s="11"/>
      <c r="U100" s="11"/>
      <c r="V100" s="11"/>
      <c r="W100" s="11"/>
      <c r="X100" s="11"/>
      <c r="Y100" s="11">
        <v>122</v>
      </c>
      <c r="Z100" s="11"/>
      <c r="AA100" s="11"/>
      <c r="AB100" s="11"/>
      <c r="AC100" s="11">
        <v>1378</v>
      </c>
      <c r="AD100" s="11"/>
      <c r="AE100" s="11"/>
      <c r="AF100" s="11"/>
      <c r="AG100" s="11"/>
      <c r="AH100" s="11"/>
      <c r="AI100" s="11"/>
      <c r="AJ100" s="11"/>
      <c r="AK100" s="11"/>
      <c r="AL100" s="11"/>
      <c r="AM100" s="11">
        <v>59</v>
      </c>
      <c r="AN100" s="11">
        <v>96</v>
      </c>
      <c r="AO100" s="11"/>
      <c r="AP100" s="11">
        <v>591</v>
      </c>
      <c r="AQ100" s="11">
        <v>484</v>
      </c>
      <c r="AR100" s="11">
        <v>148</v>
      </c>
      <c r="AS100" s="11"/>
      <c r="AT100" s="20" t="str">
        <f>HYPERLINK("http://www.openstreetmap.org/?mlat=33.6429&amp;mlon=42.8126&amp;zoom=12#map=12/33.6429/42.8126","Maplink1")</f>
        <v>Maplink1</v>
      </c>
      <c r="AU100" s="20" t="str">
        <f>HYPERLINK("https://www.google.iq/maps/search/+33.6429,42.8126/@33.6429,42.8126,14z?hl=en","Maplink2")</f>
        <v>Maplink2</v>
      </c>
      <c r="AV100" s="20" t="str">
        <f>HYPERLINK("http://www.bing.com/maps/?lvl=14&amp;sty=h&amp;cp=33.6429~42.8126&amp;sp=point.33.6429_42.8126","Maplink3")</f>
        <v>Maplink3</v>
      </c>
    </row>
    <row r="101" spans="1:48" x14ac:dyDescent="0.25">
      <c r="A101" s="9">
        <v>138</v>
      </c>
      <c r="B101" s="10" t="s">
        <v>8</v>
      </c>
      <c r="C101" s="10" t="s">
        <v>218</v>
      </c>
      <c r="D101" s="10" t="s">
        <v>274</v>
      </c>
      <c r="E101" s="10" t="s">
        <v>275</v>
      </c>
      <c r="F101" s="10">
        <v>33.541870000000003</v>
      </c>
      <c r="G101" s="10">
        <v>42.964359999999999</v>
      </c>
      <c r="H101" s="11">
        <v>225</v>
      </c>
      <c r="I101" s="11">
        <v>1350</v>
      </c>
      <c r="J101" s="11">
        <v>93</v>
      </c>
      <c r="K101" s="11"/>
      <c r="L101" s="11">
        <v>99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>
        <v>33</v>
      </c>
      <c r="Z101" s="11"/>
      <c r="AA101" s="11"/>
      <c r="AB101" s="11"/>
      <c r="AC101" s="11">
        <v>225</v>
      </c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>
        <v>57</v>
      </c>
      <c r="AQ101" s="11">
        <v>168</v>
      </c>
      <c r="AR101" s="11"/>
      <c r="AS101" s="11"/>
      <c r="AT101" s="20" t="str">
        <f>HYPERLINK("http://www.openstreetmap.org/?mlat=33.5419&amp;mlon=42.9644&amp;zoom=12#map=12/33.5419/42.9644","Maplink1")</f>
        <v>Maplink1</v>
      </c>
      <c r="AU101" s="20" t="str">
        <f>HYPERLINK("https://www.google.iq/maps/search/+33.5419,42.9644/@33.5419,42.9644,14z?hl=en","Maplink2")</f>
        <v>Maplink2</v>
      </c>
      <c r="AV101" s="20" t="str">
        <f>HYPERLINK("http://www.bing.com/maps/?lvl=14&amp;sty=h&amp;cp=33.5419~42.9644&amp;sp=point.33.5419_42.9644","Maplink3")</f>
        <v>Maplink3</v>
      </c>
    </row>
    <row r="102" spans="1:48" x14ac:dyDescent="0.25">
      <c r="A102" s="9">
        <v>194</v>
      </c>
      <c r="B102" s="10" t="s">
        <v>8</v>
      </c>
      <c r="C102" s="10" t="s">
        <v>218</v>
      </c>
      <c r="D102" s="10" t="s">
        <v>276</v>
      </c>
      <c r="E102" s="10" t="s">
        <v>277</v>
      </c>
      <c r="F102" s="10">
        <v>33.631929999999997</v>
      </c>
      <c r="G102" s="10">
        <v>42.839619999999996</v>
      </c>
      <c r="H102" s="11">
        <v>1443</v>
      </c>
      <c r="I102" s="11">
        <v>8658</v>
      </c>
      <c r="J102" s="11">
        <v>301</v>
      </c>
      <c r="K102" s="11"/>
      <c r="L102" s="11">
        <v>419</v>
      </c>
      <c r="M102" s="11"/>
      <c r="N102" s="11"/>
      <c r="O102" s="11"/>
      <c r="P102" s="11">
        <v>96</v>
      </c>
      <c r="Q102" s="11"/>
      <c r="R102" s="11">
        <v>469</v>
      </c>
      <c r="S102" s="11"/>
      <c r="T102" s="11"/>
      <c r="U102" s="11"/>
      <c r="V102" s="11"/>
      <c r="W102" s="11"/>
      <c r="X102" s="11">
        <v>60</v>
      </c>
      <c r="Y102" s="11">
        <v>98</v>
      </c>
      <c r="Z102" s="11"/>
      <c r="AA102" s="11"/>
      <c r="AB102" s="11"/>
      <c r="AC102" s="11">
        <v>1443</v>
      </c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>
        <v>158</v>
      </c>
      <c r="AO102" s="11"/>
      <c r="AP102" s="11">
        <v>628</v>
      </c>
      <c r="AQ102" s="11">
        <v>471</v>
      </c>
      <c r="AR102" s="11">
        <v>186</v>
      </c>
      <c r="AS102" s="11"/>
      <c r="AT102" s="20" t="str">
        <f>HYPERLINK("http://www.openstreetmap.org/?mlat=33.6319&amp;mlon=42.8396&amp;zoom=12#map=12/33.6319/42.8396","Maplink1")</f>
        <v>Maplink1</v>
      </c>
      <c r="AU102" s="20" t="str">
        <f>HYPERLINK("https://www.google.iq/maps/search/+33.6319,42.8396/@33.6319,42.8396,14z?hl=en","Maplink2")</f>
        <v>Maplink2</v>
      </c>
      <c r="AV102" s="20" t="str">
        <f>HYPERLINK("http://www.bing.com/maps/?lvl=14&amp;sty=h&amp;cp=33.6319~42.8396&amp;sp=point.33.6319_42.8396","Maplink3")</f>
        <v>Maplink3</v>
      </c>
    </row>
    <row r="103" spans="1:48" x14ac:dyDescent="0.25">
      <c r="A103" s="9">
        <v>23848</v>
      </c>
      <c r="B103" s="10" t="s">
        <v>8</v>
      </c>
      <c r="C103" s="10" t="s">
        <v>218</v>
      </c>
      <c r="D103" s="10" t="s">
        <v>278</v>
      </c>
      <c r="E103" s="10" t="s">
        <v>279</v>
      </c>
      <c r="F103" s="10">
        <v>33.543667999999997</v>
      </c>
      <c r="G103" s="10">
        <v>42.932872000000003</v>
      </c>
      <c r="H103" s="11">
        <v>175</v>
      </c>
      <c r="I103" s="11">
        <v>1050</v>
      </c>
      <c r="J103" s="11"/>
      <c r="K103" s="11"/>
      <c r="L103" s="11">
        <v>175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>
        <v>175</v>
      </c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>
        <v>175</v>
      </c>
      <c r="AR103" s="11"/>
      <c r="AS103" s="11"/>
      <c r="AT103" s="20" t="str">
        <f>HYPERLINK("http://www.openstreetmap.org/?mlat=33.5437&amp;mlon=42.9329&amp;zoom=12#map=12/33.5437/42.9329","Maplink1")</f>
        <v>Maplink1</v>
      </c>
      <c r="AU103" s="20" t="str">
        <f>HYPERLINK("https://www.google.iq/maps/search/+33.5437,42.9329/@33.5437,42.9329,14z?hl=en","Maplink2")</f>
        <v>Maplink2</v>
      </c>
      <c r="AV103" s="20" t="str">
        <f>HYPERLINK("http://www.bing.com/maps/?lvl=14&amp;sty=h&amp;cp=33.5437~42.9329&amp;sp=point.33.5437_42.9329","Maplink3")</f>
        <v>Maplink3</v>
      </c>
    </row>
    <row r="104" spans="1:48" x14ac:dyDescent="0.25">
      <c r="A104" s="9">
        <v>23889</v>
      </c>
      <c r="B104" s="10" t="s">
        <v>8</v>
      </c>
      <c r="C104" s="10" t="s">
        <v>280</v>
      </c>
      <c r="D104" s="10" t="s">
        <v>281</v>
      </c>
      <c r="E104" s="10" t="s">
        <v>282</v>
      </c>
      <c r="F104" s="10">
        <v>33.414079999999998</v>
      </c>
      <c r="G104" s="10">
        <v>43.191429999999997</v>
      </c>
      <c r="H104" s="11">
        <v>512</v>
      </c>
      <c r="I104" s="11">
        <v>3072</v>
      </c>
      <c r="J104" s="11">
        <v>96</v>
      </c>
      <c r="K104" s="11"/>
      <c r="L104" s="11"/>
      <c r="M104" s="11"/>
      <c r="N104" s="11"/>
      <c r="O104" s="11"/>
      <c r="P104" s="11">
        <v>136</v>
      </c>
      <c r="Q104" s="11"/>
      <c r="R104" s="11">
        <v>280</v>
      </c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512</v>
      </c>
      <c r="AD104" s="11"/>
      <c r="AE104" s="11"/>
      <c r="AF104" s="11"/>
      <c r="AG104" s="11"/>
      <c r="AH104" s="11"/>
      <c r="AI104" s="11"/>
      <c r="AJ104" s="11"/>
      <c r="AK104" s="11"/>
      <c r="AL104" s="11"/>
      <c r="AM104" s="11">
        <v>66</v>
      </c>
      <c r="AN104" s="11">
        <v>30</v>
      </c>
      <c r="AO104" s="11"/>
      <c r="AP104" s="11">
        <v>280</v>
      </c>
      <c r="AQ104" s="11">
        <v>136</v>
      </c>
      <c r="AR104" s="11"/>
      <c r="AS104" s="11"/>
      <c r="AT104" s="20" t="str">
        <f>HYPERLINK("http://www.openstreetmap.org/?mlat=33.4141&amp;mlon=43.1914&amp;zoom=12#map=12/33.4141/43.1914","Maplink1")</f>
        <v>Maplink1</v>
      </c>
      <c r="AU104" s="20" t="str">
        <f>HYPERLINK("https://www.google.iq/maps/search/+33.4141,43.1914/@33.4141,43.1914,14z?hl=en","Maplink2")</f>
        <v>Maplink2</v>
      </c>
      <c r="AV104" s="20" t="str">
        <f>HYPERLINK("http://www.bing.com/maps/?lvl=14&amp;sty=h&amp;cp=33.4141~43.1914&amp;sp=point.33.4141_43.1914","Maplink3")</f>
        <v>Maplink3</v>
      </c>
    </row>
    <row r="105" spans="1:48" x14ac:dyDescent="0.25">
      <c r="A105" s="9">
        <v>23858</v>
      </c>
      <c r="B105" s="10" t="s">
        <v>8</v>
      </c>
      <c r="C105" s="10" t="s">
        <v>280</v>
      </c>
      <c r="D105" s="10" t="s">
        <v>283</v>
      </c>
      <c r="E105" s="10" t="s">
        <v>284</v>
      </c>
      <c r="F105" s="10">
        <v>33.392490000000002</v>
      </c>
      <c r="G105" s="10">
        <v>43.543039999999998</v>
      </c>
      <c r="H105" s="11">
        <v>378</v>
      </c>
      <c r="I105" s="11">
        <v>2268</v>
      </c>
      <c r="J105" s="11">
        <v>197</v>
      </c>
      <c r="K105" s="11"/>
      <c r="L105" s="11"/>
      <c r="M105" s="11"/>
      <c r="N105" s="11"/>
      <c r="O105" s="11"/>
      <c r="P105" s="11"/>
      <c r="Q105" s="11"/>
      <c r="R105" s="11">
        <v>114</v>
      </c>
      <c r="S105" s="11"/>
      <c r="T105" s="11"/>
      <c r="U105" s="11"/>
      <c r="V105" s="11"/>
      <c r="W105" s="11"/>
      <c r="X105" s="11"/>
      <c r="Y105" s="11">
        <v>67</v>
      </c>
      <c r="Z105" s="11"/>
      <c r="AA105" s="11"/>
      <c r="AB105" s="11"/>
      <c r="AC105" s="11">
        <v>378</v>
      </c>
      <c r="AD105" s="11"/>
      <c r="AE105" s="11"/>
      <c r="AF105" s="11"/>
      <c r="AG105" s="11"/>
      <c r="AH105" s="11"/>
      <c r="AI105" s="11"/>
      <c r="AJ105" s="11"/>
      <c r="AK105" s="11"/>
      <c r="AL105" s="11"/>
      <c r="AM105" s="11">
        <v>175</v>
      </c>
      <c r="AN105" s="11"/>
      <c r="AO105" s="11"/>
      <c r="AP105" s="11"/>
      <c r="AQ105" s="11">
        <v>126</v>
      </c>
      <c r="AR105" s="11">
        <v>77</v>
      </c>
      <c r="AS105" s="11"/>
      <c r="AT105" s="20" t="str">
        <f>HYPERLINK("http://www.openstreetmap.org/?mlat=33.3925&amp;mlon=43.543&amp;zoom=12#map=12/33.3925/43.543","Maplink1")</f>
        <v>Maplink1</v>
      </c>
      <c r="AU105" s="20" t="str">
        <f>HYPERLINK("https://www.google.iq/maps/search/+33.3925,43.543/@33.3925,43.543,14z?hl=en","Maplink2")</f>
        <v>Maplink2</v>
      </c>
      <c r="AV105" s="20" t="str">
        <f>HYPERLINK("http://www.bing.com/maps/?lvl=14&amp;sty=h&amp;cp=33.3925~43.543&amp;sp=point.33.3925_43.543","Maplink3")</f>
        <v>Maplink3</v>
      </c>
    </row>
    <row r="106" spans="1:48" x14ac:dyDescent="0.25">
      <c r="A106" s="9">
        <v>133</v>
      </c>
      <c r="B106" s="10" t="s">
        <v>8</v>
      </c>
      <c r="C106" s="10" t="s">
        <v>280</v>
      </c>
      <c r="D106" s="10" t="s">
        <v>285</v>
      </c>
      <c r="E106" s="10" t="s">
        <v>286</v>
      </c>
      <c r="F106" s="10">
        <v>33.414050000000003</v>
      </c>
      <c r="G106" s="10">
        <v>43.305489999999999</v>
      </c>
      <c r="H106" s="11">
        <v>1149</v>
      </c>
      <c r="I106" s="11">
        <v>6894</v>
      </c>
      <c r="J106" s="11">
        <v>574</v>
      </c>
      <c r="K106" s="11"/>
      <c r="L106" s="11"/>
      <c r="M106" s="11"/>
      <c r="N106" s="11"/>
      <c r="O106" s="11"/>
      <c r="P106" s="11">
        <v>165</v>
      </c>
      <c r="Q106" s="11"/>
      <c r="R106" s="11">
        <v>90</v>
      </c>
      <c r="S106" s="11"/>
      <c r="T106" s="11"/>
      <c r="U106" s="11"/>
      <c r="V106" s="11"/>
      <c r="W106" s="11"/>
      <c r="X106" s="11"/>
      <c r="Y106" s="11">
        <v>320</v>
      </c>
      <c r="Z106" s="11"/>
      <c r="AA106" s="11"/>
      <c r="AB106" s="11"/>
      <c r="AC106" s="11">
        <v>1149</v>
      </c>
      <c r="AD106" s="11"/>
      <c r="AE106" s="11"/>
      <c r="AF106" s="11"/>
      <c r="AG106" s="11"/>
      <c r="AH106" s="11"/>
      <c r="AI106" s="11"/>
      <c r="AJ106" s="11"/>
      <c r="AK106" s="11"/>
      <c r="AL106" s="11"/>
      <c r="AM106" s="11">
        <v>292</v>
      </c>
      <c r="AN106" s="11"/>
      <c r="AO106" s="11"/>
      <c r="AP106" s="11">
        <v>367</v>
      </c>
      <c r="AQ106" s="11">
        <v>490</v>
      </c>
      <c r="AR106" s="11"/>
      <c r="AS106" s="11"/>
      <c r="AT106" s="20" t="str">
        <f>HYPERLINK("http://www.openstreetmap.org/?mlat=33.4141&amp;mlon=43.3055&amp;zoom=12#map=12/33.4141/43.3055","Maplink1")</f>
        <v>Maplink1</v>
      </c>
      <c r="AU106" s="20" t="str">
        <f>HYPERLINK("https://www.google.iq/maps/search/+33.4141,43.3055/@33.4141,43.3055,14z?hl=en","Maplink2")</f>
        <v>Maplink2</v>
      </c>
      <c r="AV106" s="20" t="str">
        <f>HYPERLINK("http://www.bing.com/maps/?lvl=14&amp;sty=h&amp;cp=33.4141~43.3055&amp;sp=point.33.4141_43.3055","Maplink3")</f>
        <v>Maplink3</v>
      </c>
    </row>
    <row r="107" spans="1:48" x14ac:dyDescent="0.25">
      <c r="A107" s="9">
        <v>132</v>
      </c>
      <c r="B107" s="10" t="s">
        <v>8</v>
      </c>
      <c r="C107" s="10" t="s">
        <v>280</v>
      </c>
      <c r="D107" s="10" t="s">
        <v>287</v>
      </c>
      <c r="E107" s="10" t="s">
        <v>288</v>
      </c>
      <c r="F107" s="10">
        <v>33.417740000000002</v>
      </c>
      <c r="G107" s="10">
        <v>43.30545</v>
      </c>
      <c r="H107" s="11">
        <v>1804</v>
      </c>
      <c r="I107" s="11">
        <v>10824</v>
      </c>
      <c r="J107" s="11">
        <v>1734</v>
      </c>
      <c r="K107" s="11"/>
      <c r="L107" s="11"/>
      <c r="M107" s="11"/>
      <c r="N107" s="11"/>
      <c r="O107" s="11"/>
      <c r="P107" s="11"/>
      <c r="Q107" s="11"/>
      <c r="R107" s="11">
        <v>70</v>
      </c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>
        <v>1804</v>
      </c>
      <c r="AD107" s="11"/>
      <c r="AE107" s="11"/>
      <c r="AF107" s="11"/>
      <c r="AG107" s="11"/>
      <c r="AH107" s="11"/>
      <c r="AI107" s="11"/>
      <c r="AJ107" s="11"/>
      <c r="AK107" s="11"/>
      <c r="AL107" s="11"/>
      <c r="AM107" s="11">
        <v>542</v>
      </c>
      <c r="AN107" s="11"/>
      <c r="AO107" s="11"/>
      <c r="AP107" s="11">
        <v>303</v>
      </c>
      <c r="AQ107" s="11">
        <v>959</v>
      </c>
      <c r="AR107" s="11"/>
      <c r="AS107" s="11"/>
      <c r="AT107" s="20" t="str">
        <f>HYPERLINK("http://www.openstreetmap.org/?mlat=33.4177&amp;mlon=43.3055&amp;zoom=12#map=12/33.4177/43.3055","Maplink1")</f>
        <v>Maplink1</v>
      </c>
      <c r="AU107" s="20" t="str">
        <f>HYPERLINK("https://www.google.iq/maps/search/+33.4177,43.3055/@33.4177,43.3055,14z?hl=en","Maplink2")</f>
        <v>Maplink2</v>
      </c>
      <c r="AV107" s="20" t="str">
        <f>HYPERLINK("http://www.bing.com/maps/?lvl=14&amp;sty=h&amp;cp=33.4177~43.3055&amp;sp=point.33.4177_43.3055","Maplink3")</f>
        <v>Maplink3</v>
      </c>
    </row>
    <row r="108" spans="1:48" x14ac:dyDescent="0.25">
      <c r="A108" s="9">
        <v>25650</v>
      </c>
      <c r="B108" s="10" t="s">
        <v>8</v>
      </c>
      <c r="C108" s="10" t="s">
        <v>280</v>
      </c>
      <c r="D108" s="10" t="s">
        <v>289</v>
      </c>
      <c r="E108" s="10" t="s">
        <v>290</v>
      </c>
      <c r="F108" s="10">
        <v>33.411586</v>
      </c>
      <c r="G108" s="10">
        <v>43.308807000000002</v>
      </c>
      <c r="H108" s="11">
        <v>1531</v>
      </c>
      <c r="I108" s="11">
        <v>9186</v>
      </c>
      <c r="J108" s="11">
        <v>952</v>
      </c>
      <c r="K108" s="11"/>
      <c r="L108" s="11">
        <v>504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>
        <v>75</v>
      </c>
      <c r="Z108" s="11"/>
      <c r="AA108" s="11"/>
      <c r="AB108" s="11"/>
      <c r="AC108" s="11">
        <v>1434</v>
      </c>
      <c r="AD108" s="11"/>
      <c r="AE108" s="11"/>
      <c r="AF108" s="11"/>
      <c r="AG108" s="11"/>
      <c r="AH108" s="11"/>
      <c r="AI108" s="11">
        <v>97</v>
      </c>
      <c r="AJ108" s="11"/>
      <c r="AK108" s="11"/>
      <c r="AL108" s="11"/>
      <c r="AM108" s="11">
        <v>371</v>
      </c>
      <c r="AN108" s="11"/>
      <c r="AO108" s="11"/>
      <c r="AP108" s="11">
        <v>205</v>
      </c>
      <c r="AQ108" s="11">
        <v>721</v>
      </c>
      <c r="AR108" s="11">
        <v>234</v>
      </c>
      <c r="AS108" s="11"/>
      <c r="AT108" s="20" t="str">
        <f>HYPERLINK("http://www.openstreetmap.org/?mlat=33.4116&amp;mlon=43.3088&amp;zoom=12#map=12/33.4116/43.3088","Maplink1")</f>
        <v>Maplink1</v>
      </c>
      <c r="AU108" s="20" t="str">
        <f>HYPERLINK("https://www.google.iq/maps/search/+33.4116,43.3088/@33.4116,43.3088,14z?hl=en","Maplink2")</f>
        <v>Maplink2</v>
      </c>
      <c r="AV108" s="20" t="str">
        <f>HYPERLINK("http://www.bing.com/maps/?lvl=14&amp;sty=h&amp;cp=33.4116~43.3088&amp;sp=point.33.4116_43.3088","Maplink3")</f>
        <v>Maplink3</v>
      </c>
    </row>
    <row r="109" spans="1:48" x14ac:dyDescent="0.25">
      <c r="A109" s="9">
        <v>117</v>
      </c>
      <c r="B109" s="10" t="s">
        <v>8</v>
      </c>
      <c r="C109" s="10" t="s">
        <v>280</v>
      </c>
      <c r="D109" s="10" t="s">
        <v>291</v>
      </c>
      <c r="E109" s="10" t="s">
        <v>292</v>
      </c>
      <c r="F109" s="10">
        <v>33.42671</v>
      </c>
      <c r="G109" s="10">
        <v>43.295439999999999</v>
      </c>
      <c r="H109" s="11">
        <v>1643</v>
      </c>
      <c r="I109" s="11">
        <v>9858</v>
      </c>
      <c r="J109" s="11">
        <v>824</v>
      </c>
      <c r="K109" s="11"/>
      <c r="L109" s="11">
        <v>572</v>
      </c>
      <c r="M109" s="11"/>
      <c r="N109" s="11"/>
      <c r="O109" s="11"/>
      <c r="P109" s="11"/>
      <c r="Q109" s="11"/>
      <c r="R109" s="11">
        <v>170</v>
      </c>
      <c r="S109" s="11"/>
      <c r="T109" s="11"/>
      <c r="U109" s="11"/>
      <c r="V109" s="11"/>
      <c r="W109" s="11"/>
      <c r="X109" s="11"/>
      <c r="Y109" s="11">
        <v>77</v>
      </c>
      <c r="Z109" s="11"/>
      <c r="AA109" s="11"/>
      <c r="AB109" s="11"/>
      <c r="AC109" s="11">
        <v>1602</v>
      </c>
      <c r="AD109" s="11"/>
      <c r="AE109" s="11"/>
      <c r="AF109" s="11"/>
      <c r="AG109" s="11"/>
      <c r="AH109" s="11"/>
      <c r="AI109" s="11">
        <v>41</v>
      </c>
      <c r="AJ109" s="11"/>
      <c r="AK109" s="11"/>
      <c r="AL109" s="11"/>
      <c r="AM109" s="11">
        <v>221</v>
      </c>
      <c r="AN109" s="11"/>
      <c r="AO109" s="11"/>
      <c r="AP109" s="11">
        <v>33</v>
      </c>
      <c r="AQ109" s="11">
        <v>1389</v>
      </c>
      <c r="AR109" s="11"/>
      <c r="AS109" s="11"/>
      <c r="AT109" s="20" t="str">
        <f>HYPERLINK("http://www.openstreetmap.org/?mlat=33.4267&amp;mlon=43.2954&amp;zoom=12#map=12/33.4267/43.2954","Maplink1")</f>
        <v>Maplink1</v>
      </c>
      <c r="AU109" s="20" t="str">
        <f>HYPERLINK("https://www.google.iq/maps/search/+33.4267,43.2954/@33.4267,43.2954,14z?hl=en","Maplink2")</f>
        <v>Maplink2</v>
      </c>
      <c r="AV109" s="20" t="str">
        <f>HYPERLINK("http://www.bing.com/maps/?lvl=14&amp;sty=h&amp;cp=33.4267~43.2954&amp;sp=point.33.4267_43.2954","Maplink3")</f>
        <v>Maplink3</v>
      </c>
    </row>
    <row r="110" spans="1:48" x14ac:dyDescent="0.25">
      <c r="A110" s="9">
        <v>29579</v>
      </c>
      <c r="B110" s="10" t="s">
        <v>8</v>
      </c>
      <c r="C110" s="10" t="s">
        <v>280</v>
      </c>
      <c r="D110" s="10" t="s">
        <v>293</v>
      </c>
      <c r="E110" s="10" t="s">
        <v>294</v>
      </c>
      <c r="F110" s="10">
        <v>33.412959999999998</v>
      </c>
      <c r="G110" s="10">
        <v>43.323009999999996</v>
      </c>
      <c r="H110" s="11">
        <v>2104</v>
      </c>
      <c r="I110" s="11">
        <v>12624</v>
      </c>
      <c r="J110" s="11">
        <v>394</v>
      </c>
      <c r="K110" s="11"/>
      <c r="L110" s="11">
        <v>623</v>
      </c>
      <c r="M110" s="11"/>
      <c r="N110" s="11"/>
      <c r="O110" s="11"/>
      <c r="P110" s="11">
        <v>528</v>
      </c>
      <c r="Q110" s="11"/>
      <c r="R110" s="11">
        <v>559</v>
      </c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>
        <v>2104</v>
      </c>
      <c r="AD110" s="11"/>
      <c r="AE110" s="11"/>
      <c r="AF110" s="11"/>
      <c r="AG110" s="11"/>
      <c r="AH110" s="11"/>
      <c r="AI110" s="11"/>
      <c r="AJ110" s="11"/>
      <c r="AK110" s="11"/>
      <c r="AL110" s="11"/>
      <c r="AM110" s="11">
        <v>715</v>
      </c>
      <c r="AN110" s="11"/>
      <c r="AO110" s="11"/>
      <c r="AP110" s="11">
        <v>389</v>
      </c>
      <c r="AQ110" s="11">
        <v>800</v>
      </c>
      <c r="AR110" s="11">
        <v>200</v>
      </c>
      <c r="AS110" s="11"/>
      <c r="AT110" s="20" t="str">
        <f>HYPERLINK("http://www.openstreetmap.org/?mlat=33.413&amp;mlon=43.323&amp;zoom=12#map=12/33.413/43.323","Maplink1")</f>
        <v>Maplink1</v>
      </c>
      <c r="AU110" s="20" t="str">
        <f>HYPERLINK("https://www.google.iq/maps/search/+33.413,43.323/@33.413,43.323,14z?hl=en","Maplink2")</f>
        <v>Maplink2</v>
      </c>
      <c r="AV110" s="20" t="str">
        <f>HYPERLINK("http://www.bing.com/maps/?lvl=14&amp;sty=h&amp;cp=33.413~43.323&amp;sp=point.33.413_43.323","Maplink3")</f>
        <v>Maplink3</v>
      </c>
    </row>
    <row r="111" spans="1:48" x14ac:dyDescent="0.25">
      <c r="A111" s="9">
        <v>20939</v>
      </c>
      <c r="B111" s="10" t="s">
        <v>8</v>
      </c>
      <c r="C111" s="10" t="s">
        <v>280</v>
      </c>
      <c r="D111" s="10" t="s">
        <v>295</v>
      </c>
      <c r="E111" s="10" t="s">
        <v>296</v>
      </c>
      <c r="F111" s="10">
        <v>33.460740000000001</v>
      </c>
      <c r="G111" s="10">
        <v>43.380360000000003</v>
      </c>
      <c r="H111" s="11">
        <v>687</v>
      </c>
      <c r="I111" s="11">
        <v>4122</v>
      </c>
      <c r="J111" s="11">
        <v>253</v>
      </c>
      <c r="K111" s="11"/>
      <c r="L111" s="11">
        <v>335</v>
      </c>
      <c r="M111" s="11"/>
      <c r="N111" s="11"/>
      <c r="O111" s="11"/>
      <c r="P111" s="11">
        <v>99</v>
      </c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>
        <v>687</v>
      </c>
      <c r="AD111" s="11"/>
      <c r="AE111" s="11"/>
      <c r="AF111" s="11"/>
      <c r="AG111" s="11"/>
      <c r="AH111" s="11"/>
      <c r="AI111" s="11"/>
      <c r="AJ111" s="11"/>
      <c r="AK111" s="11"/>
      <c r="AL111" s="11"/>
      <c r="AM111" s="11">
        <v>335</v>
      </c>
      <c r="AN111" s="11"/>
      <c r="AO111" s="11"/>
      <c r="AP111" s="11">
        <v>118</v>
      </c>
      <c r="AQ111" s="11">
        <v>234</v>
      </c>
      <c r="AR111" s="11"/>
      <c r="AS111" s="11"/>
      <c r="AT111" s="20" t="str">
        <f>HYPERLINK("http://www.openstreetmap.org/?mlat=33.4607&amp;mlon=43.3804&amp;zoom=12#map=12/33.4607/43.3804","Maplink1")</f>
        <v>Maplink1</v>
      </c>
      <c r="AU111" s="20" t="str">
        <f>HYPERLINK("https://www.google.iq/maps/search/+33.4607,43.3804/@33.4607,43.3804,14z?hl=en","Maplink2")</f>
        <v>Maplink2</v>
      </c>
      <c r="AV111" s="20" t="str">
        <f>HYPERLINK("http://www.bing.com/maps/?lvl=14&amp;sty=h&amp;cp=33.4607~43.3804&amp;sp=point.33.4607_43.3804","Maplink3")</f>
        <v>Maplink3</v>
      </c>
    </row>
    <row r="112" spans="1:48" x14ac:dyDescent="0.25">
      <c r="A112" s="9">
        <v>29580</v>
      </c>
      <c r="B112" s="10" t="s">
        <v>8</v>
      </c>
      <c r="C112" s="10" t="s">
        <v>280</v>
      </c>
      <c r="D112" s="10" t="s">
        <v>297</v>
      </c>
      <c r="E112" s="10" t="s">
        <v>298</v>
      </c>
      <c r="F112" s="10">
        <v>33.421889999999998</v>
      </c>
      <c r="G112" s="10">
        <v>43.290010000000002</v>
      </c>
      <c r="H112" s="11">
        <v>1661</v>
      </c>
      <c r="I112" s="11">
        <v>9966</v>
      </c>
      <c r="J112" s="11">
        <v>408</v>
      </c>
      <c r="K112" s="11">
        <v>126</v>
      </c>
      <c r="L112" s="11">
        <v>501</v>
      </c>
      <c r="M112" s="11"/>
      <c r="N112" s="11"/>
      <c r="O112" s="11"/>
      <c r="P112" s="11">
        <v>265</v>
      </c>
      <c r="Q112" s="11"/>
      <c r="R112" s="11"/>
      <c r="S112" s="11"/>
      <c r="T112" s="11"/>
      <c r="U112" s="11"/>
      <c r="V112" s="11"/>
      <c r="W112" s="11"/>
      <c r="X112" s="11"/>
      <c r="Y112" s="11">
        <v>361</v>
      </c>
      <c r="Z112" s="11"/>
      <c r="AA112" s="11"/>
      <c r="AB112" s="11"/>
      <c r="AC112" s="11">
        <v>1661</v>
      </c>
      <c r="AD112" s="11"/>
      <c r="AE112" s="11"/>
      <c r="AF112" s="11"/>
      <c r="AG112" s="11"/>
      <c r="AH112" s="11"/>
      <c r="AI112" s="11"/>
      <c r="AJ112" s="11"/>
      <c r="AK112" s="11"/>
      <c r="AL112" s="11"/>
      <c r="AM112" s="11">
        <v>148</v>
      </c>
      <c r="AN112" s="11"/>
      <c r="AO112" s="11"/>
      <c r="AP112" s="11">
        <v>626</v>
      </c>
      <c r="AQ112" s="11">
        <v>887</v>
      </c>
      <c r="AR112" s="11"/>
      <c r="AS112" s="11"/>
      <c r="AT112" s="20" t="str">
        <f>HYPERLINK("http://www.openstreetmap.org/?mlat=33.4219&amp;mlon=43.29&amp;zoom=12#map=12/33.4219/43.29","Maplink1")</f>
        <v>Maplink1</v>
      </c>
      <c r="AU112" s="20" t="str">
        <f>HYPERLINK("https://www.google.iq/maps/search/+33.4219,43.29/@33.4219,43.29,14z?hl=en","Maplink2")</f>
        <v>Maplink2</v>
      </c>
      <c r="AV112" s="20" t="str">
        <f>HYPERLINK("http://www.bing.com/maps/?lvl=14&amp;sty=h&amp;cp=33.4219~43.29&amp;sp=point.33.4219_43.29","Maplink3")</f>
        <v>Maplink3</v>
      </c>
    </row>
    <row r="113" spans="1:48" x14ac:dyDescent="0.25">
      <c r="A113" s="9">
        <v>311</v>
      </c>
      <c r="B113" s="10" t="s">
        <v>8</v>
      </c>
      <c r="C113" s="10" t="s">
        <v>280</v>
      </c>
      <c r="D113" s="10" t="s">
        <v>299</v>
      </c>
      <c r="E113" s="10" t="s">
        <v>300</v>
      </c>
      <c r="F113" s="10">
        <v>33.430529999999997</v>
      </c>
      <c r="G113" s="10">
        <v>43.292230000000004</v>
      </c>
      <c r="H113" s="11">
        <v>2170</v>
      </c>
      <c r="I113" s="11">
        <v>13020</v>
      </c>
      <c r="J113" s="11">
        <v>1300</v>
      </c>
      <c r="K113" s="11"/>
      <c r="L113" s="11">
        <v>305</v>
      </c>
      <c r="M113" s="11"/>
      <c r="N113" s="11"/>
      <c r="O113" s="11"/>
      <c r="P113" s="11"/>
      <c r="Q113" s="11"/>
      <c r="R113" s="11">
        <v>512</v>
      </c>
      <c r="S113" s="11"/>
      <c r="T113" s="11"/>
      <c r="U113" s="11"/>
      <c r="V113" s="11"/>
      <c r="W113" s="11"/>
      <c r="X113" s="11"/>
      <c r="Y113" s="11">
        <v>53</v>
      </c>
      <c r="Z113" s="11"/>
      <c r="AA113" s="11"/>
      <c r="AB113" s="11"/>
      <c r="AC113" s="11">
        <v>2117</v>
      </c>
      <c r="AD113" s="11"/>
      <c r="AE113" s="11"/>
      <c r="AF113" s="11"/>
      <c r="AG113" s="11"/>
      <c r="AH113" s="11"/>
      <c r="AI113" s="11">
        <v>53</v>
      </c>
      <c r="AJ113" s="11"/>
      <c r="AK113" s="11"/>
      <c r="AL113" s="11"/>
      <c r="AM113" s="11">
        <v>1061</v>
      </c>
      <c r="AN113" s="11">
        <v>351</v>
      </c>
      <c r="AO113" s="11"/>
      <c r="AP113" s="11">
        <v>441</v>
      </c>
      <c r="AQ113" s="11">
        <v>317</v>
      </c>
      <c r="AR113" s="11"/>
      <c r="AS113" s="11"/>
      <c r="AT113" s="20" t="str">
        <f>HYPERLINK("http://www.openstreetmap.org/?mlat=33.4305&amp;mlon=43.2922&amp;zoom=12#map=12/33.4305/43.2922","Maplink1")</f>
        <v>Maplink1</v>
      </c>
      <c r="AU113" s="20" t="str">
        <f>HYPERLINK("https://www.google.iq/maps/search/+33.4305,43.2922/@33.4305,43.2922,14z?hl=en","Maplink2")</f>
        <v>Maplink2</v>
      </c>
      <c r="AV113" s="20" t="str">
        <f>HYPERLINK("http://www.bing.com/maps/?lvl=14&amp;sty=h&amp;cp=33.4305~43.2922&amp;sp=point.33.4305_43.2922","Maplink3")</f>
        <v>Maplink3</v>
      </c>
    </row>
    <row r="114" spans="1:48" x14ac:dyDescent="0.25">
      <c r="A114" s="9">
        <v>25800</v>
      </c>
      <c r="B114" s="10" t="s">
        <v>8</v>
      </c>
      <c r="C114" s="10" t="s">
        <v>280</v>
      </c>
      <c r="D114" s="10" t="s">
        <v>301</v>
      </c>
      <c r="E114" s="10" t="s">
        <v>302</v>
      </c>
      <c r="F114" s="10">
        <v>33.429310000000001</v>
      </c>
      <c r="G114" s="10">
        <v>43.306041</v>
      </c>
      <c r="H114" s="11">
        <v>1568</v>
      </c>
      <c r="I114" s="11">
        <v>9408</v>
      </c>
      <c r="J114" s="11">
        <v>740</v>
      </c>
      <c r="K114" s="11"/>
      <c r="L114" s="11">
        <v>192</v>
      </c>
      <c r="M114" s="11"/>
      <c r="N114" s="11"/>
      <c r="O114" s="11"/>
      <c r="P114" s="11">
        <v>82</v>
      </c>
      <c r="Q114" s="11"/>
      <c r="R114" s="11">
        <v>342</v>
      </c>
      <c r="S114" s="11"/>
      <c r="T114" s="11"/>
      <c r="U114" s="11"/>
      <c r="V114" s="11"/>
      <c r="W114" s="11"/>
      <c r="X114" s="11">
        <v>90</v>
      </c>
      <c r="Y114" s="11">
        <v>122</v>
      </c>
      <c r="Z114" s="11"/>
      <c r="AA114" s="11"/>
      <c r="AB114" s="11"/>
      <c r="AC114" s="11">
        <v>1500</v>
      </c>
      <c r="AD114" s="11"/>
      <c r="AE114" s="11"/>
      <c r="AF114" s="11"/>
      <c r="AG114" s="11"/>
      <c r="AH114" s="11"/>
      <c r="AI114" s="11">
        <v>68</v>
      </c>
      <c r="AJ114" s="11"/>
      <c r="AK114" s="11"/>
      <c r="AL114" s="11"/>
      <c r="AM114" s="11">
        <v>956</v>
      </c>
      <c r="AN114" s="11">
        <v>314</v>
      </c>
      <c r="AO114" s="11"/>
      <c r="AP114" s="11">
        <v>82</v>
      </c>
      <c r="AQ114" s="11">
        <v>216</v>
      </c>
      <c r="AR114" s="11"/>
      <c r="AS114" s="11"/>
      <c r="AT114" s="20" t="str">
        <f>HYPERLINK("http://www.openstreetmap.org/?mlat=33.4293&amp;mlon=43.306&amp;zoom=12#map=12/33.4293/43.306","Maplink1")</f>
        <v>Maplink1</v>
      </c>
      <c r="AU114" s="20" t="str">
        <f>HYPERLINK("https://www.google.iq/maps/search/+33.4293,43.306/@33.4293,43.306,14z?hl=en","Maplink2")</f>
        <v>Maplink2</v>
      </c>
      <c r="AV114" s="20" t="str">
        <f>HYPERLINK("http://www.bing.com/maps/?lvl=14&amp;sty=h&amp;cp=33.4293~43.306&amp;sp=point.33.4293_43.306","Maplink3")</f>
        <v>Maplink3</v>
      </c>
    </row>
    <row r="115" spans="1:48" x14ac:dyDescent="0.25">
      <c r="A115" s="9">
        <v>24730</v>
      </c>
      <c r="B115" s="10" t="s">
        <v>8</v>
      </c>
      <c r="C115" s="10" t="s">
        <v>280</v>
      </c>
      <c r="D115" s="10" t="s">
        <v>303</v>
      </c>
      <c r="E115" s="10" t="s">
        <v>304</v>
      </c>
      <c r="F115" s="10">
        <v>33.387219999999999</v>
      </c>
      <c r="G115" s="10">
        <v>43.52422</v>
      </c>
      <c r="H115" s="11">
        <v>640</v>
      </c>
      <c r="I115" s="11">
        <v>3840</v>
      </c>
      <c r="J115" s="11">
        <v>157</v>
      </c>
      <c r="K115" s="11"/>
      <c r="L115" s="11">
        <v>286</v>
      </c>
      <c r="M115" s="11"/>
      <c r="N115" s="11"/>
      <c r="O115" s="11"/>
      <c r="P115" s="11"/>
      <c r="Q115" s="11"/>
      <c r="R115" s="11">
        <v>197</v>
      </c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>
        <v>640</v>
      </c>
      <c r="AD115" s="11"/>
      <c r="AE115" s="11"/>
      <c r="AF115" s="11"/>
      <c r="AG115" s="11"/>
      <c r="AH115" s="11"/>
      <c r="AI115" s="11"/>
      <c r="AJ115" s="11"/>
      <c r="AK115" s="11"/>
      <c r="AL115" s="11"/>
      <c r="AM115" s="11">
        <v>57</v>
      </c>
      <c r="AN115" s="11"/>
      <c r="AO115" s="11"/>
      <c r="AP115" s="11">
        <v>386</v>
      </c>
      <c r="AQ115" s="11">
        <v>97</v>
      </c>
      <c r="AR115" s="11">
        <v>100</v>
      </c>
      <c r="AS115" s="11"/>
      <c r="AT115" s="20" t="str">
        <f>HYPERLINK("http://www.openstreetmap.org/?mlat=33.3872&amp;mlon=43.5242&amp;zoom=12#map=12/33.3872/43.5242","Maplink1")</f>
        <v>Maplink1</v>
      </c>
      <c r="AU115" s="20" t="str">
        <f>HYPERLINK("https://www.google.iq/maps/search/+33.3872,43.5242/@33.3872,43.5242,14z?hl=en","Maplink2")</f>
        <v>Maplink2</v>
      </c>
      <c r="AV115" s="20" t="str">
        <f>HYPERLINK("http://www.bing.com/maps/?lvl=14&amp;sty=h&amp;cp=33.3872~43.5242&amp;sp=point.33.3872_43.5242","Maplink3")</f>
        <v>Maplink3</v>
      </c>
    </row>
    <row r="116" spans="1:48" x14ac:dyDescent="0.25">
      <c r="A116" s="9">
        <v>29581</v>
      </c>
      <c r="B116" s="10" t="s">
        <v>8</v>
      </c>
      <c r="C116" s="10" t="s">
        <v>280</v>
      </c>
      <c r="D116" s="10" t="s">
        <v>305</v>
      </c>
      <c r="E116" s="10" t="s">
        <v>306</v>
      </c>
      <c r="F116" s="10">
        <v>33.415472999999999</v>
      </c>
      <c r="G116" s="10">
        <v>43.220742000000001</v>
      </c>
      <c r="H116" s="11">
        <v>1612</v>
      </c>
      <c r="I116" s="11">
        <v>9672</v>
      </c>
      <c r="J116" s="11">
        <v>214</v>
      </c>
      <c r="K116" s="11"/>
      <c r="L116" s="11">
        <v>690</v>
      </c>
      <c r="M116" s="11"/>
      <c r="N116" s="11"/>
      <c r="O116" s="11"/>
      <c r="P116" s="11">
        <v>190</v>
      </c>
      <c r="Q116" s="11"/>
      <c r="R116" s="11">
        <v>329</v>
      </c>
      <c r="S116" s="11"/>
      <c r="T116" s="11"/>
      <c r="U116" s="11"/>
      <c r="V116" s="11"/>
      <c r="W116" s="11"/>
      <c r="X116" s="11"/>
      <c r="Y116" s="11">
        <v>189</v>
      </c>
      <c r="Z116" s="11"/>
      <c r="AA116" s="11"/>
      <c r="AB116" s="11"/>
      <c r="AC116" s="11">
        <v>1612</v>
      </c>
      <c r="AD116" s="11"/>
      <c r="AE116" s="11"/>
      <c r="AF116" s="11"/>
      <c r="AG116" s="11"/>
      <c r="AH116" s="11"/>
      <c r="AI116" s="11"/>
      <c r="AJ116" s="11"/>
      <c r="AK116" s="11"/>
      <c r="AL116" s="11"/>
      <c r="AM116" s="11">
        <v>190</v>
      </c>
      <c r="AN116" s="11">
        <v>329</v>
      </c>
      <c r="AO116" s="11"/>
      <c r="AP116" s="11">
        <v>537</v>
      </c>
      <c r="AQ116" s="11">
        <v>556</v>
      </c>
      <c r="AR116" s="11"/>
      <c r="AS116" s="11"/>
      <c r="AT116" s="20" t="str">
        <f>HYPERLINK("http://www.openstreetmap.org/?mlat=33.4155&amp;mlon=43.2207&amp;zoom=12#map=12/33.4155/43.2207","Maplink1")</f>
        <v>Maplink1</v>
      </c>
      <c r="AU116" s="20" t="str">
        <f>HYPERLINK("https://www.google.iq/maps/search/+33.4155,43.2207/@33.4155,43.2207,14z?hl=en","Maplink2")</f>
        <v>Maplink2</v>
      </c>
      <c r="AV116" s="20" t="str">
        <f>HYPERLINK("http://www.bing.com/maps/?lvl=14&amp;sty=h&amp;cp=33.4155~43.2207&amp;sp=point.33.4155_43.2207","Maplink3")</f>
        <v>Maplink3</v>
      </c>
    </row>
    <row r="117" spans="1:48" x14ac:dyDescent="0.25">
      <c r="A117" s="9">
        <v>181</v>
      </c>
      <c r="B117" s="10" t="s">
        <v>8</v>
      </c>
      <c r="C117" s="10" t="s">
        <v>280</v>
      </c>
      <c r="D117" s="10" t="s">
        <v>307</v>
      </c>
      <c r="E117" s="10" t="s">
        <v>308</v>
      </c>
      <c r="F117" s="10">
        <v>33.412170000000003</v>
      </c>
      <c r="G117" s="10">
        <v>43.043779999999998</v>
      </c>
      <c r="H117" s="11">
        <v>2140</v>
      </c>
      <c r="I117" s="11">
        <v>12840</v>
      </c>
      <c r="J117" s="11">
        <v>446</v>
      </c>
      <c r="K117" s="11"/>
      <c r="L117" s="11">
        <v>890</v>
      </c>
      <c r="M117" s="11"/>
      <c r="N117" s="11"/>
      <c r="O117" s="11"/>
      <c r="P117" s="11">
        <v>371</v>
      </c>
      <c r="Q117" s="11"/>
      <c r="R117" s="11">
        <v>135</v>
      </c>
      <c r="S117" s="11"/>
      <c r="T117" s="11"/>
      <c r="U117" s="11"/>
      <c r="V117" s="11"/>
      <c r="W117" s="11"/>
      <c r="X117" s="11"/>
      <c r="Y117" s="11">
        <v>298</v>
      </c>
      <c r="Z117" s="11"/>
      <c r="AA117" s="11"/>
      <c r="AB117" s="11"/>
      <c r="AC117" s="11">
        <v>2140</v>
      </c>
      <c r="AD117" s="11"/>
      <c r="AE117" s="11"/>
      <c r="AF117" s="11"/>
      <c r="AG117" s="11"/>
      <c r="AH117" s="11"/>
      <c r="AI117" s="11"/>
      <c r="AJ117" s="11"/>
      <c r="AK117" s="11"/>
      <c r="AL117" s="11"/>
      <c r="AM117" s="11">
        <v>637</v>
      </c>
      <c r="AN117" s="11"/>
      <c r="AO117" s="11"/>
      <c r="AP117" s="11">
        <v>853</v>
      </c>
      <c r="AQ117" s="11">
        <v>650</v>
      </c>
      <c r="AR117" s="11"/>
      <c r="AS117" s="11"/>
      <c r="AT117" s="20" t="str">
        <f>HYPERLINK("http://www.openstreetmap.org/?mlat=33.4122&amp;mlon=43.0438&amp;zoom=12#map=12/33.4122/43.0438","Maplink1")</f>
        <v>Maplink1</v>
      </c>
      <c r="AU117" s="20" t="str">
        <f>HYPERLINK("https://www.google.iq/maps/search/+33.4122,43.0438/@33.4122,43.0438,14z?hl=en","Maplink2")</f>
        <v>Maplink2</v>
      </c>
      <c r="AV117" s="20" t="str">
        <f>HYPERLINK("http://www.bing.com/maps/?lvl=14&amp;sty=h&amp;cp=33.4122~43.0438&amp;sp=point.33.4122_43.0438","Maplink3")</f>
        <v>Maplink3</v>
      </c>
    </row>
    <row r="118" spans="1:48" x14ac:dyDescent="0.25">
      <c r="A118" s="9">
        <v>25440</v>
      </c>
      <c r="B118" s="10" t="s">
        <v>8</v>
      </c>
      <c r="C118" s="10" t="s">
        <v>280</v>
      </c>
      <c r="D118" s="10" t="s">
        <v>309</v>
      </c>
      <c r="E118" s="10" t="s">
        <v>310</v>
      </c>
      <c r="F118" s="10">
        <v>33.438929999999999</v>
      </c>
      <c r="G118" s="10">
        <v>43.38447</v>
      </c>
      <c r="H118" s="11">
        <v>1444</v>
      </c>
      <c r="I118" s="11">
        <v>8664</v>
      </c>
      <c r="J118" s="11">
        <v>390</v>
      </c>
      <c r="K118" s="11"/>
      <c r="L118" s="11">
        <v>639</v>
      </c>
      <c r="M118" s="11"/>
      <c r="N118" s="11"/>
      <c r="O118" s="11"/>
      <c r="P118" s="11">
        <v>217</v>
      </c>
      <c r="Q118" s="11"/>
      <c r="R118" s="11">
        <v>198</v>
      </c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>
        <v>1304</v>
      </c>
      <c r="AD118" s="11"/>
      <c r="AE118" s="11"/>
      <c r="AF118" s="11"/>
      <c r="AG118" s="11"/>
      <c r="AH118" s="11"/>
      <c r="AI118" s="11">
        <v>140</v>
      </c>
      <c r="AJ118" s="11"/>
      <c r="AK118" s="11"/>
      <c r="AL118" s="11"/>
      <c r="AM118" s="11">
        <v>333</v>
      </c>
      <c r="AN118" s="11"/>
      <c r="AO118" s="11"/>
      <c r="AP118" s="11">
        <v>448</v>
      </c>
      <c r="AQ118" s="11">
        <v>663</v>
      </c>
      <c r="AR118" s="11"/>
      <c r="AS118" s="11"/>
      <c r="AT118" s="20" t="str">
        <f>HYPERLINK("http://www.openstreetmap.org/?mlat=33.4389&amp;mlon=43.3845&amp;zoom=12#map=12/33.4389/43.3845","Maplink1")</f>
        <v>Maplink1</v>
      </c>
      <c r="AU118" s="20" t="str">
        <f>HYPERLINK("https://www.google.iq/maps/search/+33.4389,43.3845/@33.4389,43.3845,14z?hl=en","Maplink2")</f>
        <v>Maplink2</v>
      </c>
      <c r="AV118" s="20" t="str">
        <f>HYPERLINK("http://www.bing.com/maps/?lvl=14&amp;sty=h&amp;cp=33.4389~43.3845&amp;sp=point.33.4389_43.3845","Maplink3")</f>
        <v>Maplink3</v>
      </c>
    </row>
    <row r="119" spans="1:48" x14ac:dyDescent="0.25">
      <c r="A119" s="9">
        <v>29534</v>
      </c>
      <c r="B119" s="10" t="s">
        <v>8</v>
      </c>
      <c r="C119" s="10" t="s">
        <v>280</v>
      </c>
      <c r="D119" s="10" t="s">
        <v>311</v>
      </c>
      <c r="E119" s="10" t="s">
        <v>312</v>
      </c>
      <c r="F119" s="10">
        <v>33.431789999999999</v>
      </c>
      <c r="G119" s="10">
        <v>43.281350000000003</v>
      </c>
      <c r="H119" s="11">
        <v>1538</v>
      </c>
      <c r="I119" s="11">
        <v>9228</v>
      </c>
      <c r="J119" s="11">
        <v>888</v>
      </c>
      <c r="K119" s="11">
        <v>336</v>
      </c>
      <c r="L119" s="11">
        <v>314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>
        <v>1456</v>
      </c>
      <c r="AD119" s="11"/>
      <c r="AE119" s="11"/>
      <c r="AF119" s="11"/>
      <c r="AG119" s="11"/>
      <c r="AH119" s="11"/>
      <c r="AI119" s="11">
        <v>82</v>
      </c>
      <c r="AJ119" s="11"/>
      <c r="AK119" s="11"/>
      <c r="AL119" s="11"/>
      <c r="AM119" s="11">
        <v>401</v>
      </c>
      <c r="AN119" s="11"/>
      <c r="AO119" s="11"/>
      <c r="AP119" s="11">
        <v>717</v>
      </c>
      <c r="AQ119" s="11">
        <v>420</v>
      </c>
      <c r="AR119" s="11"/>
      <c r="AS119" s="11"/>
      <c r="AT119" s="20" t="str">
        <f>HYPERLINK("http://www.openstreetmap.org/?mlat=33.4318&amp;mlon=43.2814&amp;zoom=12#map=12/33.4318/43.2814","Maplink1")</f>
        <v>Maplink1</v>
      </c>
      <c r="AU119" s="20" t="str">
        <f>HYPERLINK("https://www.google.iq/maps/search/+33.4318,43.2814/@33.4318,43.2814,14z?hl=en","Maplink2")</f>
        <v>Maplink2</v>
      </c>
      <c r="AV119" s="20" t="str">
        <f>HYPERLINK("http://www.bing.com/maps/?lvl=14&amp;sty=h&amp;cp=33.4318~43.2814&amp;sp=point.33.4318_43.2814","Maplink3")</f>
        <v>Maplink3</v>
      </c>
    </row>
    <row r="120" spans="1:48" x14ac:dyDescent="0.25">
      <c r="A120" s="9">
        <v>25442</v>
      </c>
      <c r="B120" s="10" t="s">
        <v>8</v>
      </c>
      <c r="C120" s="10" t="s">
        <v>280</v>
      </c>
      <c r="D120" s="10" t="s">
        <v>313</v>
      </c>
      <c r="E120" s="10" t="s">
        <v>314</v>
      </c>
      <c r="F120" s="10">
        <v>33.41628</v>
      </c>
      <c r="G120" s="10">
        <v>43.269570000000002</v>
      </c>
      <c r="H120" s="11">
        <v>869</v>
      </c>
      <c r="I120" s="11">
        <v>5214</v>
      </c>
      <c r="J120" s="11">
        <v>235</v>
      </c>
      <c r="K120" s="11"/>
      <c r="L120" s="11">
        <v>245</v>
      </c>
      <c r="M120" s="11"/>
      <c r="N120" s="11"/>
      <c r="O120" s="11"/>
      <c r="P120" s="11">
        <v>389</v>
      </c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>
        <v>772</v>
      </c>
      <c r="AD120" s="11"/>
      <c r="AE120" s="11"/>
      <c r="AF120" s="11"/>
      <c r="AG120" s="11"/>
      <c r="AH120" s="11"/>
      <c r="AI120" s="11">
        <v>97</v>
      </c>
      <c r="AJ120" s="11"/>
      <c r="AK120" s="11"/>
      <c r="AL120" s="11"/>
      <c r="AM120" s="11">
        <v>235</v>
      </c>
      <c r="AN120" s="11"/>
      <c r="AO120" s="11"/>
      <c r="AP120" s="11">
        <v>209</v>
      </c>
      <c r="AQ120" s="11">
        <v>425</v>
      </c>
      <c r="AR120" s="11"/>
      <c r="AS120" s="11"/>
      <c r="AT120" s="20" t="str">
        <f>HYPERLINK("http://www.openstreetmap.org/?mlat=33.4163&amp;mlon=43.2696&amp;zoom=12#map=12/33.4163/43.2696","Maplink1")</f>
        <v>Maplink1</v>
      </c>
      <c r="AU120" s="20" t="str">
        <f>HYPERLINK("https://www.google.iq/maps/search/+33.4163,43.2696/@33.4163,43.2696,14z?hl=en","Maplink2")</f>
        <v>Maplink2</v>
      </c>
      <c r="AV120" s="20" t="str">
        <f>HYPERLINK("http://www.bing.com/maps/?lvl=14&amp;sty=h&amp;cp=33.4163~43.2696&amp;sp=point.33.4163_43.2696","Maplink3")</f>
        <v>Maplink3</v>
      </c>
    </row>
    <row r="121" spans="1:48" x14ac:dyDescent="0.25">
      <c r="A121" s="9">
        <v>115</v>
      </c>
      <c r="B121" s="10" t="s">
        <v>8</v>
      </c>
      <c r="C121" s="10" t="s">
        <v>280</v>
      </c>
      <c r="D121" s="10" t="s">
        <v>315</v>
      </c>
      <c r="E121" s="10" t="s">
        <v>316</v>
      </c>
      <c r="F121" s="10">
        <v>33.436459999999997</v>
      </c>
      <c r="G121" s="10">
        <v>43.323009999999996</v>
      </c>
      <c r="H121" s="11">
        <v>1445</v>
      </c>
      <c r="I121" s="11">
        <v>8670</v>
      </c>
      <c r="J121" s="11">
        <v>854</v>
      </c>
      <c r="K121" s="11"/>
      <c r="L121" s="11">
        <v>114</v>
      </c>
      <c r="M121" s="11"/>
      <c r="N121" s="11"/>
      <c r="O121" s="11"/>
      <c r="P121" s="11">
        <v>142</v>
      </c>
      <c r="Q121" s="11"/>
      <c r="R121" s="11">
        <v>156</v>
      </c>
      <c r="S121" s="11"/>
      <c r="T121" s="11"/>
      <c r="U121" s="11"/>
      <c r="V121" s="11"/>
      <c r="W121" s="11"/>
      <c r="X121" s="11"/>
      <c r="Y121" s="11">
        <v>179</v>
      </c>
      <c r="Z121" s="11"/>
      <c r="AA121" s="11"/>
      <c r="AB121" s="11"/>
      <c r="AC121" s="11">
        <v>1282</v>
      </c>
      <c r="AD121" s="11"/>
      <c r="AE121" s="11"/>
      <c r="AF121" s="11"/>
      <c r="AG121" s="11"/>
      <c r="AH121" s="11"/>
      <c r="AI121" s="11">
        <v>163</v>
      </c>
      <c r="AJ121" s="11"/>
      <c r="AK121" s="11"/>
      <c r="AL121" s="11"/>
      <c r="AM121" s="11">
        <v>313</v>
      </c>
      <c r="AN121" s="11"/>
      <c r="AO121" s="11"/>
      <c r="AP121" s="11">
        <v>296</v>
      </c>
      <c r="AQ121" s="11">
        <v>836</v>
      </c>
      <c r="AR121" s="11"/>
      <c r="AS121" s="11"/>
      <c r="AT121" s="20" t="str">
        <f>HYPERLINK("http://www.openstreetmap.org/?mlat=33.4365&amp;mlon=43.323&amp;zoom=12#map=12/33.4365/43.323","Maplink1")</f>
        <v>Maplink1</v>
      </c>
      <c r="AU121" s="20" t="str">
        <f>HYPERLINK("https://www.google.iq/maps/search/+33.4365,43.323/@33.4365,43.323,14z?hl=en","Maplink2")</f>
        <v>Maplink2</v>
      </c>
      <c r="AV121" s="20" t="str">
        <f>HYPERLINK("http://www.bing.com/maps/?lvl=14&amp;sty=h&amp;cp=33.4365~43.323&amp;sp=point.33.4365_43.323","Maplink3")</f>
        <v>Maplink3</v>
      </c>
    </row>
    <row r="122" spans="1:48" x14ac:dyDescent="0.25">
      <c r="A122" s="9">
        <v>25441</v>
      </c>
      <c r="B122" s="10" t="s">
        <v>8</v>
      </c>
      <c r="C122" s="10" t="s">
        <v>280</v>
      </c>
      <c r="D122" s="10" t="s">
        <v>317</v>
      </c>
      <c r="E122" s="10" t="s">
        <v>318</v>
      </c>
      <c r="F122" s="10">
        <v>33.433909999999997</v>
      </c>
      <c r="G122" s="10">
        <v>43.356270000000002</v>
      </c>
      <c r="H122" s="11">
        <v>1193</v>
      </c>
      <c r="I122" s="11">
        <v>7158</v>
      </c>
      <c r="J122" s="11">
        <v>696</v>
      </c>
      <c r="K122" s="11"/>
      <c r="L122" s="11">
        <v>362</v>
      </c>
      <c r="M122" s="11"/>
      <c r="N122" s="11"/>
      <c r="O122" s="11"/>
      <c r="P122" s="11"/>
      <c r="Q122" s="11"/>
      <c r="R122" s="11">
        <v>135</v>
      </c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>
        <v>1193</v>
      </c>
      <c r="AD122" s="11"/>
      <c r="AE122" s="11"/>
      <c r="AF122" s="11"/>
      <c r="AG122" s="11"/>
      <c r="AH122" s="11"/>
      <c r="AI122" s="11"/>
      <c r="AJ122" s="11"/>
      <c r="AK122" s="11"/>
      <c r="AL122" s="11"/>
      <c r="AM122" s="11">
        <v>409</v>
      </c>
      <c r="AN122" s="11">
        <v>649</v>
      </c>
      <c r="AO122" s="11"/>
      <c r="AP122" s="11"/>
      <c r="AQ122" s="11">
        <v>135</v>
      </c>
      <c r="AR122" s="11"/>
      <c r="AS122" s="11"/>
      <c r="AT122" s="20" t="str">
        <f>HYPERLINK("http://www.openstreetmap.org/?mlat=33.4339&amp;mlon=43.3563&amp;zoom=12#map=12/33.4339/43.3563","Maplink1")</f>
        <v>Maplink1</v>
      </c>
      <c r="AU122" s="20" t="str">
        <f>HYPERLINK("https://www.google.iq/maps/search/+33.4339,43.3563/@33.4339,43.3563,14z?hl=en","Maplink2")</f>
        <v>Maplink2</v>
      </c>
      <c r="AV122" s="20" t="str">
        <f>HYPERLINK("http://www.bing.com/maps/?lvl=14&amp;sty=h&amp;cp=33.4339~43.3563&amp;sp=point.33.4339_43.3563","Maplink3")</f>
        <v>Maplink3</v>
      </c>
    </row>
    <row r="123" spans="1:48" x14ac:dyDescent="0.25">
      <c r="A123" s="9">
        <v>24729</v>
      </c>
      <c r="B123" s="10" t="s">
        <v>8</v>
      </c>
      <c r="C123" s="10" t="s">
        <v>280</v>
      </c>
      <c r="D123" s="10" t="s">
        <v>319</v>
      </c>
      <c r="E123" s="10" t="s">
        <v>320</v>
      </c>
      <c r="F123" s="10">
        <v>33.38852</v>
      </c>
      <c r="G123" s="10">
        <v>43.517290000000003</v>
      </c>
      <c r="H123" s="11">
        <v>493</v>
      </c>
      <c r="I123" s="11">
        <v>2958</v>
      </c>
      <c r="J123" s="11">
        <v>354</v>
      </c>
      <c r="K123" s="11"/>
      <c r="L123" s="11">
        <v>89</v>
      </c>
      <c r="M123" s="11"/>
      <c r="N123" s="11"/>
      <c r="O123" s="11"/>
      <c r="P123" s="11"/>
      <c r="Q123" s="11"/>
      <c r="R123" s="11">
        <v>50</v>
      </c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>
        <v>493</v>
      </c>
      <c r="AD123" s="11"/>
      <c r="AE123" s="11"/>
      <c r="AF123" s="11"/>
      <c r="AG123" s="11"/>
      <c r="AH123" s="11"/>
      <c r="AI123" s="11"/>
      <c r="AJ123" s="11"/>
      <c r="AK123" s="11"/>
      <c r="AL123" s="11"/>
      <c r="AM123" s="11">
        <v>50</v>
      </c>
      <c r="AN123" s="11"/>
      <c r="AO123" s="11"/>
      <c r="AP123" s="11">
        <v>189</v>
      </c>
      <c r="AQ123" s="11">
        <v>204</v>
      </c>
      <c r="AR123" s="11">
        <v>50</v>
      </c>
      <c r="AS123" s="11"/>
      <c r="AT123" s="20" t="str">
        <f>HYPERLINK("http://www.openstreetmap.org/?mlat=33.3885&amp;mlon=43.5173&amp;zoom=12#map=12/33.3885/43.5173","Maplink1")</f>
        <v>Maplink1</v>
      </c>
      <c r="AU123" s="20" t="str">
        <f>HYPERLINK("https://www.google.iq/maps/search/+33.3885,43.5173/@33.3885,43.5173,14z?hl=en","Maplink2")</f>
        <v>Maplink2</v>
      </c>
      <c r="AV123" s="20" t="str">
        <f>HYPERLINK("http://www.bing.com/maps/?lvl=14&amp;sty=h&amp;cp=33.3885~43.5173&amp;sp=point.33.3885_43.5173","Maplink3")</f>
        <v>Maplink3</v>
      </c>
    </row>
    <row r="124" spans="1:48" x14ac:dyDescent="0.25">
      <c r="A124" s="9">
        <v>21403</v>
      </c>
      <c r="B124" s="10" t="s">
        <v>8</v>
      </c>
      <c r="C124" s="10" t="s">
        <v>280</v>
      </c>
      <c r="D124" s="10" t="s">
        <v>321</v>
      </c>
      <c r="E124" s="10" t="s">
        <v>322</v>
      </c>
      <c r="F124" s="10">
        <v>33.425559999999997</v>
      </c>
      <c r="G124" s="10">
        <v>43.338079999999998</v>
      </c>
      <c r="H124" s="11">
        <v>1814</v>
      </c>
      <c r="I124" s="11">
        <v>10884</v>
      </c>
      <c r="J124" s="11">
        <v>689</v>
      </c>
      <c r="K124" s="11"/>
      <c r="L124" s="11">
        <v>700</v>
      </c>
      <c r="M124" s="11"/>
      <c r="N124" s="11"/>
      <c r="O124" s="11"/>
      <c r="P124" s="11">
        <v>226</v>
      </c>
      <c r="Q124" s="11"/>
      <c r="R124" s="11"/>
      <c r="S124" s="11"/>
      <c r="T124" s="11"/>
      <c r="U124" s="11"/>
      <c r="V124" s="11"/>
      <c r="W124" s="11"/>
      <c r="X124" s="11"/>
      <c r="Y124" s="11">
        <v>199</v>
      </c>
      <c r="Z124" s="11"/>
      <c r="AA124" s="11"/>
      <c r="AB124" s="11"/>
      <c r="AC124" s="11">
        <v>1777</v>
      </c>
      <c r="AD124" s="11"/>
      <c r="AE124" s="11"/>
      <c r="AF124" s="11"/>
      <c r="AG124" s="11"/>
      <c r="AH124" s="11"/>
      <c r="AI124" s="11">
        <v>37</v>
      </c>
      <c r="AJ124" s="11"/>
      <c r="AK124" s="11"/>
      <c r="AL124" s="11"/>
      <c r="AM124" s="11">
        <v>37</v>
      </c>
      <c r="AN124" s="11">
        <v>199</v>
      </c>
      <c r="AO124" s="11"/>
      <c r="AP124" s="11">
        <v>850</v>
      </c>
      <c r="AQ124" s="11">
        <v>335</v>
      </c>
      <c r="AR124" s="11">
        <v>393</v>
      </c>
      <c r="AS124" s="11"/>
      <c r="AT124" s="20" t="str">
        <f>HYPERLINK("http://www.openstreetmap.org/?mlat=33.4256&amp;mlon=43.3381&amp;zoom=12#map=12/33.4256/43.3381","Maplink1")</f>
        <v>Maplink1</v>
      </c>
      <c r="AU124" s="20" t="str">
        <f>HYPERLINK("https://www.google.iq/maps/search/+33.4256,43.3381/@33.4256,43.3381,14z?hl=en","Maplink2")</f>
        <v>Maplink2</v>
      </c>
      <c r="AV124" s="20" t="str">
        <f>HYPERLINK("http://www.bing.com/maps/?lvl=14&amp;sty=h&amp;cp=33.4256~43.3381&amp;sp=point.33.4256_43.3381","Maplink3")</f>
        <v>Maplink3</v>
      </c>
    </row>
    <row r="125" spans="1:48" x14ac:dyDescent="0.25">
      <c r="A125" s="9">
        <v>23891</v>
      </c>
      <c r="B125" s="10" t="s">
        <v>8</v>
      </c>
      <c r="C125" s="10" t="s">
        <v>280</v>
      </c>
      <c r="D125" s="10" t="s">
        <v>323</v>
      </c>
      <c r="E125" s="10" t="s">
        <v>324</v>
      </c>
      <c r="F125" s="10">
        <v>33.374498000000003</v>
      </c>
      <c r="G125" s="10">
        <v>42.847051999999998</v>
      </c>
      <c r="H125" s="11">
        <v>824</v>
      </c>
      <c r="I125" s="11">
        <v>4944</v>
      </c>
      <c r="J125" s="11">
        <v>373</v>
      </c>
      <c r="K125" s="11"/>
      <c r="L125" s="11"/>
      <c r="M125" s="11"/>
      <c r="N125" s="11"/>
      <c r="O125" s="11"/>
      <c r="P125" s="11">
        <v>451</v>
      </c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>
        <v>824</v>
      </c>
      <c r="AD125" s="11"/>
      <c r="AE125" s="11"/>
      <c r="AF125" s="11"/>
      <c r="AG125" s="11"/>
      <c r="AH125" s="11"/>
      <c r="AI125" s="11"/>
      <c r="AJ125" s="11"/>
      <c r="AK125" s="11"/>
      <c r="AL125" s="11"/>
      <c r="AM125" s="11">
        <v>173</v>
      </c>
      <c r="AN125" s="11">
        <v>200</v>
      </c>
      <c r="AO125" s="11"/>
      <c r="AP125" s="11"/>
      <c r="AQ125" s="11">
        <v>451</v>
      </c>
      <c r="AR125" s="11"/>
      <c r="AS125" s="11"/>
      <c r="AT125" s="20" t="str">
        <f>HYPERLINK("http://www.openstreetmap.org/?mlat=33.3745&amp;mlon=42.8471&amp;zoom=12#map=12/33.3745/42.8471","Maplink1")</f>
        <v>Maplink1</v>
      </c>
      <c r="AU125" s="20" t="str">
        <f>HYPERLINK("https://www.google.iq/maps/search/+33.3745,42.8471/@33.3745,42.8471,14z?hl=en","Maplink2")</f>
        <v>Maplink2</v>
      </c>
      <c r="AV125" s="20" t="str">
        <f>HYPERLINK("http://www.bing.com/maps/?lvl=14&amp;sty=h&amp;cp=33.3745~42.8471&amp;sp=point.33.3745_42.8471","Maplink3")</f>
        <v>Maplink3</v>
      </c>
    </row>
    <row r="126" spans="1:48" x14ac:dyDescent="0.25">
      <c r="A126" s="9">
        <v>31882</v>
      </c>
      <c r="B126" s="10" t="s">
        <v>8</v>
      </c>
      <c r="C126" s="10" t="s">
        <v>280</v>
      </c>
      <c r="D126" s="10" t="s">
        <v>325</v>
      </c>
      <c r="E126" s="10" t="s">
        <v>326</v>
      </c>
      <c r="F126" s="10">
        <v>33.481547999999997</v>
      </c>
      <c r="G126" s="10">
        <v>43.293579999999999</v>
      </c>
      <c r="H126" s="11">
        <v>293</v>
      </c>
      <c r="I126" s="11">
        <v>1758</v>
      </c>
      <c r="J126" s="11">
        <v>293</v>
      </c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>
        <v>293</v>
      </c>
      <c r="AD126" s="11"/>
      <c r="AE126" s="11"/>
      <c r="AF126" s="11"/>
      <c r="AG126" s="11"/>
      <c r="AH126" s="11"/>
      <c r="AI126" s="11"/>
      <c r="AJ126" s="11"/>
      <c r="AK126" s="11"/>
      <c r="AL126" s="11"/>
      <c r="AM126" s="11">
        <v>82</v>
      </c>
      <c r="AN126" s="11"/>
      <c r="AO126" s="11"/>
      <c r="AP126" s="11"/>
      <c r="AQ126" s="11">
        <v>211</v>
      </c>
      <c r="AR126" s="11"/>
      <c r="AS126" s="11"/>
      <c r="AT126" s="20" t="str">
        <f>HYPERLINK("http://www.openstreetmap.org/?mlat=33.4815&amp;mlon=43.2936&amp;zoom=12#map=12/33.4815/43.2936","Maplink1")</f>
        <v>Maplink1</v>
      </c>
      <c r="AU126" s="20" t="str">
        <f>HYPERLINK("https://www.google.iq/maps/search/+33.4815,43.2936/@33.4815,43.2936,14z?hl=en","Maplink2")</f>
        <v>Maplink2</v>
      </c>
      <c r="AV126" s="20" t="str">
        <f>HYPERLINK("http://www.bing.com/maps/?lvl=14&amp;sty=h&amp;cp=33.4815~43.2936&amp;sp=point.33.4815_43.2936","Maplink3")</f>
        <v>Maplink3</v>
      </c>
    </row>
    <row r="127" spans="1:48" x14ac:dyDescent="0.25">
      <c r="A127" s="9">
        <v>21227</v>
      </c>
      <c r="B127" s="10" t="s">
        <v>8</v>
      </c>
      <c r="C127" s="10" t="s">
        <v>280</v>
      </c>
      <c r="D127" s="10" t="s">
        <v>327</v>
      </c>
      <c r="E127" s="10" t="s">
        <v>328</v>
      </c>
      <c r="F127" s="10">
        <v>33.465560000000004</v>
      </c>
      <c r="G127" s="10">
        <v>43.279260999999998</v>
      </c>
      <c r="H127" s="11">
        <v>1112</v>
      </c>
      <c r="I127" s="11">
        <v>6672</v>
      </c>
      <c r="J127" s="11">
        <v>370</v>
      </c>
      <c r="K127" s="11"/>
      <c r="L127" s="11">
        <v>120</v>
      </c>
      <c r="M127" s="11"/>
      <c r="N127" s="11"/>
      <c r="O127" s="11"/>
      <c r="P127" s="11">
        <v>437</v>
      </c>
      <c r="Q127" s="11"/>
      <c r="R127" s="11">
        <v>185</v>
      </c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>
        <v>1049</v>
      </c>
      <c r="AD127" s="11"/>
      <c r="AE127" s="11"/>
      <c r="AF127" s="11"/>
      <c r="AG127" s="11"/>
      <c r="AH127" s="11"/>
      <c r="AI127" s="11">
        <v>63</v>
      </c>
      <c r="AJ127" s="11"/>
      <c r="AK127" s="11"/>
      <c r="AL127" s="11"/>
      <c r="AM127" s="11">
        <v>653</v>
      </c>
      <c r="AN127" s="11"/>
      <c r="AO127" s="11"/>
      <c r="AP127" s="11">
        <v>264</v>
      </c>
      <c r="AQ127" s="11">
        <v>195</v>
      </c>
      <c r="AR127" s="11"/>
      <c r="AS127" s="11"/>
      <c r="AT127" s="20" t="str">
        <f>HYPERLINK("http://www.openstreetmap.org/?mlat=33.4656&amp;mlon=43.2793&amp;zoom=12#map=12/33.4656/43.2793","Maplink1")</f>
        <v>Maplink1</v>
      </c>
      <c r="AU127" s="20" t="str">
        <f>HYPERLINK("https://www.google.iq/maps/search/+33.4656,43.2793/@33.4656,43.2793,14z?hl=en","Maplink2")</f>
        <v>Maplink2</v>
      </c>
      <c r="AV127" s="20" t="str">
        <f>HYPERLINK("http://www.bing.com/maps/?lvl=14&amp;sty=h&amp;cp=33.4656~43.2793&amp;sp=point.33.4656_43.2793","Maplink3")</f>
        <v>Maplink3</v>
      </c>
    </row>
    <row r="128" spans="1:48" x14ac:dyDescent="0.25">
      <c r="A128" s="9">
        <v>23854</v>
      </c>
      <c r="B128" s="10" t="s">
        <v>8</v>
      </c>
      <c r="C128" s="10" t="s">
        <v>280</v>
      </c>
      <c r="D128" s="10" t="s">
        <v>329</v>
      </c>
      <c r="E128" s="10" t="s">
        <v>330</v>
      </c>
      <c r="F128" s="10">
        <v>33.373739999999998</v>
      </c>
      <c r="G128" s="10">
        <v>43.592390000000002</v>
      </c>
      <c r="H128" s="11">
        <v>287</v>
      </c>
      <c r="I128" s="11">
        <v>1722</v>
      </c>
      <c r="J128" s="11">
        <v>49</v>
      </c>
      <c r="K128" s="11"/>
      <c r="L128" s="11">
        <v>99</v>
      </c>
      <c r="M128" s="11"/>
      <c r="N128" s="11"/>
      <c r="O128" s="11"/>
      <c r="P128" s="11">
        <v>139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>
        <v>287</v>
      </c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>
        <v>148</v>
      </c>
      <c r="AQ128" s="11">
        <v>139</v>
      </c>
      <c r="AR128" s="11"/>
      <c r="AS128" s="11"/>
      <c r="AT128" s="20" t="str">
        <f>HYPERLINK("http://www.openstreetmap.org/?mlat=33.3737&amp;mlon=43.5924&amp;zoom=12#map=12/33.3737/43.5924","Maplink1")</f>
        <v>Maplink1</v>
      </c>
      <c r="AU128" s="20" t="str">
        <f>HYPERLINK("https://www.google.iq/maps/search/+33.3737,43.5924/@33.3737,43.5924,14z?hl=en","Maplink2")</f>
        <v>Maplink2</v>
      </c>
      <c r="AV128" s="20" t="str">
        <f>HYPERLINK("http://www.bing.com/maps/?lvl=14&amp;sty=h&amp;cp=33.3737~43.5924&amp;sp=point.33.3737_43.5924","Maplink3")</f>
        <v>Maplink3</v>
      </c>
    </row>
    <row r="129" spans="1:48" x14ac:dyDescent="0.25">
      <c r="A129" s="9">
        <v>23857</v>
      </c>
      <c r="B129" s="10" t="s">
        <v>8</v>
      </c>
      <c r="C129" s="10" t="s">
        <v>280</v>
      </c>
      <c r="D129" s="10" t="s">
        <v>331</v>
      </c>
      <c r="E129" s="10" t="s">
        <v>332</v>
      </c>
      <c r="F129" s="10">
        <v>33.393540000000002</v>
      </c>
      <c r="G129" s="10">
        <v>43.49841</v>
      </c>
      <c r="H129" s="11">
        <v>1616</v>
      </c>
      <c r="I129" s="11">
        <v>9696</v>
      </c>
      <c r="J129" s="11">
        <v>1340</v>
      </c>
      <c r="K129" s="11"/>
      <c r="L129" s="11">
        <v>25</v>
      </c>
      <c r="M129" s="11"/>
      <c r="N129" s="11"/>
      <c r="O129" s="11"/>
      <c r="P129" s="11">
        <v>196</v>
      </c>
      <c r="Q129" s="11"/>
      <c r="R129" s="11">
        <v>50</v>
      </c>
      <c r="S129" s="11"/>
      <c r="T129" s="11"/>
      <c r="U129" s="11"/>
      <c r="V129" s="11"/>
      <c r="W129" s="11"/>
      <c r="X129" s="11"/>
      <c r="Y129" s="11">
        <v>5</v>
      </c>
      <c r="Z129" s="11"/>
      <c r="AA129" s="11"/>
      <c r="AB129" s="11"/>
      <c r="AC129" s="11">
        <v>1616</v>
      </c>
      <c r="AD129" s="11"/>
      <c r="AE129" s="11"/>
      <c r="AF129" s="11"/>
      <c r="AG129" s="11"/>
      <c r="AH129" s="11"/>
      <c r="AI129" s="11"/>
      <c r="AJ129" s="11"/>
      <c r="AK129" s="11"/>
      <c r="AL129" s="11"/>
      <c r="AM129" s="11">
        <v>336</v>
      </c>
      <c r="AN129" s="11"/>
      <c r="AO129" s="11"/>
      <c r="AP129" s="11"/>
      <c r="AQ129" s="11">
        <v>135</v>
      </c>
      <c r="AR129" s="11">
        <v>1145</v>
      </c>
      <c r="AS129" s="11"/>
      <c r="AT129" s="20" t="str">
        <f>HYPERLINK("http://www.openstreetmap.org/?mlat=33.3935&amp;mlon=43.4984&amp;zoom=12#map=12/33.3935/43.4984","Maplink1")</f>
        <v>Maplink1</v>
      </c>
      <c r="AU129" s="20" t="str">
        <f>HYPERLINK("https://www.google.iq/maps/search/+33.3935,43.4984/@33.3935,43.4984,14z?hl=en","Maplink2")</f>
        <v>Maplink2</v>
      </c>
      <c r="AV129" s="20" t="str">
        <f>HYPERLINK("http://www.bing.com/maps/?lvl=14&amp;sty=h&amp;cp=33.3935~43.4984&amp;sp=point.33.3935_43.4984","Maplink3")</f>
        <v>Maplink3</v>
      </c>
    </row>
    <row r="130" spans="1:48" x14ac:dyDescent="0.25">
      <c r="A130" s="9">
        <v>185</v>
      </c>
      <c r="B130" s="10" t="s">
        <v>8</v>
      </c>
      <c r="C130" s="10" t="s">
        <v>280</v>
      </c>
      <c r="D130" s="10" t="s">
        <v>333</v>
      </c>
      <c r="E130" s="10" t="s">
        <v>334</v>
      </c>
      <c r="F130" s="10">
        <v>33.429220000000001</v>
      </c>
      <c r="G130" s="10">
        <v>43.31223</v>
      </c>
      <c r="H130" s="11">
        <v>2232</v>
      </c>
      <c r="I130" s="11">
        <v>13392</v>
      </c>
      <c r="J130" s="11">
        <v>1148</v>
      </c>
      <c r="K130" s="11"/>
      <c r="L130" s="11">
        <v>514</v>
      </c>
      <c r="M130" s="11"/>
      <c r="N130" s="11"/>
      <c r="O130" s="11"/>
      <c r="P130" s="11">
        <v>570</v>
      </c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>
        <v>2197</v>
      </c>
      <c r="AD130" s="11"/>
      <c r="AE130" s="11"/>
      <c r="AF130" s="11"/>
      <c r="AG130" s="11"/>
      <c r="AH130" s="11"/>
      <c r="AI130" s="11">
        <v>35</v>
      </c>
      <c r="AJ130" s="11"/>
      <c r="AK130" s="11"/>
      <c r="AL130" s="11"/>
      <c r="AM130" s="11">
        <v>995</v>
      </c>
      <c r="AN130" s="11">
        <v>239</v>
      </c>
      <c r="AO130" s="11"/>
      <c r="AP130" s="11">
        <v>511</v>
      </c>
      <c r="AQ130" s="11">
        <v>305</v>
      </c>
      <c r="AR130" s="11">
        <v>182</v>
      </c>
      <c r="AS130" s="11"/>
      <c r="AT130" s="20" t="str">
        <f>HYPERLINK("http://www.openstreetmap.org/?mlat=33.4292&amp;mlon=43.3122&amp;zoom=12#map=12/33.4292/43.3122","Maplink1")</f>
        <v>Maplink1</v>
      </c>
      <c r="AU130" s="20" t="str">
        <f>HYPERLINK("https://www.google.iq/maps/search/+33.4292,43.3122/@33.4292,43.3122,14z?hl=en","Maplink2")</f>
        <v>Maplink2</v>
      </c>
      <c r="AV130" s="20" t="str">
        <f>HYPERLINK("http://www.bing.com/maps/?lvl=14&amp;sty=h&amp;cp=33.4292~43.3122&amp;sp=point.33.4292_43.3122","Maplink3")</f>
        <v>Maplink3</v>
      </c>
    </row>
    <row r="131" spans="1:48" x14ac:dyDescent="0.25">
      <c r="A131" s="9">
        <v>206</v>
      </c>
      <c r="B131" s="10" t="s">
        <v>8</v>
      </c>
      <c r="C131" s="10" t="s">
        <v>280</v>
      </c>
      <c r="D131" s="10" t="s">
        <v>335</v>
      </c>
      <c r="E131" s="10" t="s">
        <v>182</v>
      </c>
      <c r="F131" s="10">
        <v>33.375390000000003</v>
      </c>
      <c r="G131" s="10">
        <v>43.535510000000002</v>
      </c>
      <c r="H131" s="11">
        <v>485</v>
      </c>
      <c r="I131" s="11">
        <v>2910</v>
      </c>
      <c r="J131" s="11">
        <v>190</v>
      </c>
      <c r="K131" s="11"/>
      <c r="L131" s="11">
        <v>59</v>
      </c>
      <c r="M131" s="11"/>
      <c r="N131" s="11"/>
      <c r="O131" s="11"/>
      <c r="P131" s="11">
        <v>110</v>
      </c>
      <c r="Q131" s="11"/>
      <c r="R131" s="11">
        <v>103</v>
      </c>
      <c r="S131" s="11"/>
      <c r="T131" s="11"/>
      <c r="U131" s="11"/>
      <c r="V131" s="11"/>
      <c r="W131" s="11"/>
      <c r="X131" s="11"/>
      <c r="Y131" s="11">
        <v>23</v>
      </c>
      <c r="Z131" s="11"/>
      <c r="AA131" s="11"/>
      <c r="AB131" s="11"/>
      <c r="AC131" s="11">
        <v>485</v>
      </c>
      <c r="AD131" s="11"/>
      <c r="AE131" s="11"/>
      <c r="AF131" s="11"/>
      <c r="AG131" s="11"/>
      <c r="AH131" s="11"/>
      <c r="AI131" s="11"/>
      <c r="AJ131" s="11"/>
      <c r="AK131" s="11"/>
      <c r="AL131" s="11"/>
      <c r="AM131" s="11">
        <v>121</v>
      </c>
      <c r="AN131" s="11">
        <v>133</v>
      </c>
      <c r="AO131" s="11"/>
      <c r="AP131" s="11">
        <v>103</v>
      </c>
      <c r="AQ131" s="11">
        <v>128</v>
      </c>
      <c r="AR131" s="11"/>
      <c r="AS131" s="11"/>
      <c r="AT131" s="20" t="str">
        <f>HYPERLINK("http://www.openstreetmap.org/?mlat=33.3754&amp;mlon=43.5355&amp;zoom=12#map=12/33.3754/43.5355","Maplink1")</f>
        <v>Maplink1</v>
      </c>
      <c r="AU131" s="20" t="str">
        <f>HYPERLINK("https://www.google.iq/maps/search/+33.3754,43.5355/@33.3754,43.5355,14z?hl=en","Maplink2")</f>
        <v>Maplink2</v>
      </c>
      <c r="AV131" s="20" t="str">
        <f>HYPERLINK("http://www.bing.com/maps/?lvl=14&amp;sty=h&amp;cp=33.3754~43.5355&amp;sp=point.33.3754_43.5355","Maplink3")</f>
        <v>Maplink3</v>
      </c>
    </row>
    <row r="132" spans="1:48" x14ac:dyDescent="0.25">
      <c r="A132" s="9">
        <v>297</v>
      </c>
      <c r="B132" s="10" t="s">
        <v>8</v>
      </c>
      <c r="C132" s="10" t="s">
        <v>280</v>
      </c>
      <c r="D132" s="10" t="s">
        <v>336</v>
      </c>
      <c r="E132" s="10" t="s">
        <v>337</v>
      </c>
      <c r="F132" s="10">
        <v>33.432940000000002</v>
      </c>
      <c r="G132" s="10">
        <v>43.311149999999998</v>
      </c>
      <c r="H132" s="11">
        <v>1588</v>
      </c>
      <c r="I132" s="11">
        <v>9528</v>
      </c>
      <c r="J132" s="11">
        <v>1343</v>
      </c>
      <c r="K132" s="11"/>
      <c r="L132" s="11">
        <v>245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>
        <v>1279</v>
      </c>
      <c r="AD132" s="11"/>
      <c r="AE132" s="11"/>
      <c r="AF132" s="11"/>
      <c r="AG132" s="11"/>
      <c r="AH132" s="11"/>
      <c r="AI132" s="11">
        <v>309</v>
      </c>
      <c r="AJ132" s="11"/>
      <c r="AK132" s="11"/>
      <c r="AL132" s="11"/>
      <c r="AM132" s="11">
        <v>373</v>
      </c>
      <c r="AN132" s="11"/>
      <c r="AO132" s="11"/>
      <c r="AP132" s="11">
        <v>332</v>
      </c>
      <c r="AQ132" s="11">
        <v>835</v>
      </c>
      <c r="AR132" s="11">
        <v>48</v>
      </c>
      <c r="AS132" s="11"/>
      <c r="AT132" s="20" t="str">
        <f>HYPERLINK("http://www.openstreetmap.org/?mlat=33.4329&amp;mlon=43.3111&amp;zoom=12#map=12/33.4329/43.3111","Maplink1")</f>
        <v>Maplink1</v>
      </c>
      <c r="AU132" s="20" t="str">
        <f>HYPERLINK("https://www.google.iq/maps/search/+33.4329,43.3111/@33.4329,43.3111,14z?hl=en","Maplink2")</f>
        <v>Maplink2</v>
      </c>
      <c r="AV132" s="20" t="str">
        <f>HYPERLINK("http://www.bing.com/maps/?lvl=14&amp;sty=h&amp;cp=33.4329~43.3111&amp;sp=point.33.4329_43.3111","Maplink3")</f>
        <v>Maplink3</v>
      </c>
    </row>
    <row r="133" spans="1:48" x14ac:dyDescent="0.25">
      <c r="A133" s="9">
        <v>29486</v>
      </c>
      <c r="B133" s="10" t="s">
        <v>8</v>
      </c>
      <c r="C133" s="10" t="s">
        <v>280</v>
      </c>
      <c r="D133" s="10" t="s">
        <v>151</v>
      </c>
      <c r="E133" s="10" t="s">
        <v>338</v>
      </c>
      <c r="F133" s="10">
        <v>33.414079999999998</v>
      </c>
      <c r="G133" s="10">
        <v>43.191429999999997</v>
      </c>
      <c r="H133" s="11">
        <v>1290</v>
      </c>
      <c r="I133" s="11">
        <v>7740</v>
      </c>
      <c r="J133" s="11">
        <v>853</v>
      </c>
      <c r="K133" s="11">
        <v>239</v>
      </c>
      <c r="L133" s="11">
        <v>118</v>
      </c>
      <c r="M133" s="11"/>
      <c r="N133" s="11"/>
      <c r="O133" s="11"/>
      <c r="P133" s="11"/>
      <c r="Q133" s="11"/>
      <c r="R133" s="11">
        <v>80</v>
      </c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>
        <v>1290</v>
      </c>
      <c r="AD133" s="11"/>
      <c r="AE133" s="11"/>
      <c r="AF133" s="11"/>
      <c r="AG133" s="11"/>
      <c r="AH133" s="11"/>
      <c r="AI133" s="11"/>
      <c r="AJ133" s="11"/>
      <c r="AK133" s="11"/>
      <c r="AL133" s="11"/>
      <c r="AM133" s="11">
        <v>315</v>
      </c>
      <c r="AN133" s="11">
        <v>531</v>
      </c>
      <c r="AO133" s="11"/>
      <c r="AP133" s="11">
        <v>236</v>
      </c>
      <c r="AQ133" s="11">
        <v>208</v>
      </c>
      <c r="AR133" s="11"/>
      <c r="AS133" s="11"/>
      <c r="AT133" s="20" t="str">
        <f>HYPERLINK("http://www.openstreetmap.org/?mlat=33.4141&amp;mlon=43.1914&amp;zoom=12#map=12/33.4141/43.1914","Maplink1")</f>
        <v>Maplink1</v>
      </c>
      <c r="AU133" s="20" t="str">
        <f>HYPERLINK("https://www.google.iq/maps/search/+33.4141,43.1914/@33.4141,43.1914,14z?hl=en","Maplink2")</f>
        <v>Maplink2</v>
      </c>
      <c r="AV133" s="20" t="str">
        <f>HYPERLINK("http://www.bing.com/maps/?lvl=14&amp;sty=h&amp;cp=33.4141~43.1914&amp;sp=point.33.4141_43.1914","Maplink3")</f>
        <v>Maplink3</v>
      </c>
    </row>
    <row r="134" spans="1:48" x14ac:dyDescent="0.25">
      <c r="A134" s="9">
        <v>204</v>
      </c>
      <c r="B134" s="10" t="s">
        <v>8</v>
      </c>
      <c r="C134" s="10" t="s">
        <v>280</v>
      </c>
      <c r="D134" s="10" t="s">
        <v>339</v>
      </c>
      <c r="E134" s="10" t="s">
        <v>340</v>
      </c>
      <c r="F134" s="10">
        <v>33.41583</v>
      </c>
      <c r="G134" s="10">
        <v>43.273220000000002</v>
      </c>
      <c r="H134" s="11">
        <v>1681</v>
      </c>
      <c r="I134" s="11">
        <v>10086</v>
      </c>
      <c r="J134" s="11">
        <v>143</v>
      </c>
      <c r="K134" s="11"/>
      <c r="L134" s="11">
        <v>786</v>
      </c>
      <c r="M134" s="11"/>
      <c r="N134" s="11"/>
      <c r="O134" s="11"/>
      <c r="P134" s="11">
        <v>306</v>
      </c>
      <c r="Q134" s="11"/>
      <c r="R134" s="11">
        <v>446</v>
      </c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>
        <v>1681</v>
      </c>
      <c r="AD134" s="11"/>
      <c r="AE134" s="11"/>
      <c r="AF134" s="11"/>
      <c r="AG134" s="11"/>
      <c r="AH134" s="11"/>
      <c r="AI134" s="11"/>
      <c r="AJ134" s="11"/>
      <c r="AK134" s="11"/>
      <c r="AL134" s="11"/>
      <c r="AM134" s="11">
        <v>264</v>
      </c>
      <c r="AN134" s="11">
        <v>213</v>
      </c>
      <c r="AO134" s="11"/>
      <c r="AP134" s="11">
        <v>760</v>
      </c>
      <c r="AQ134" s="11">
        <v>444</v>
      </c>
      <c r="AR134" s="11"/>
      <c r="AS134" s="11"/>
      <c r="AT134" s="20" t="str">
        <f>HYPERLINK("http://www.openstreetmap.org/?mlat=33.4158&amp;mlon=43.2732&amp;zoom=12#map=12/33.4158/43.2732","Maplink1")</f>
        <v>Maplink1</v>
      </c>
      <c r="AU134" s="20" t="str">
        <f>HYPERLINK("https://www.google.iq/maps/search/+33.4158,43.2732/@33.4158,43.2732,14z?hl=en","Maplink2")</f>
        <v>Maplink2</v>
      </c>
      <c r="AV134" s="20" t="str">
        <f>HYPERLINK("http://www.bing.com/maps/?lvl=14&amp;sty=h&amp;cp=33.4158~43.2732&amp;sp=point.33.4158_43.2732","Maplink3")</f>
        <v>Maplink3</v>
      </c>
    </row>
    <row r="135" spans="1:48" x14ac:dyDescent="0.25">
      <c r="A135" s="9">
        <v>29561</v>
      </c>
      <c r="B135" s="10" t="s">
        <v>8</v>
      </c>
      <c r="C135" s="10" t="s">
        <v>280</v>
      </c>
      <c r="D135" s="10" t="s">
        <v>341</v>
      </c>
      <c r="E135" s="10" t="s">
        <v>342</v>
      </c>
      <c r="F135" s="10">
        <v>33.422110000000004</v>
      </c>
      <c r="G135" s="10">
        <v>43.26229</v>
      </c>
      <c r="H135" s="11">
        <v>1262</v>
      </c>
      <c r="I135" s="11">
        <v>7572</v>
      </c>
      <c r="J135" s="11">
        <v>721</v>
      </c>
      <c r="K135" s="11"/>
      <c r="L135" s="11">
        <v>160</v>
      </c>
      <c r="M135" s="11"/>
      <c r="N135" s="11"/>
      <c r="O135" s="11"/>
      <c r="P135" s="11">
        <v>279</v>
      </c>
      <c r="Q135" s="11"/>
      <c r="R135" s="11">
        <v>102</v>
      </c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>
        <v>1226</v>
      </c>
      <c r="AD135" s="11"/>
      <c r="AE135" s="11"/>
      <c r="AF135" s="11"/>
      <c r="AG135" s="11"/>
      <c r="AH135" s="11"/>
      <c r="AI135" s="11">
        <v>36</v>
      </c>
      <c r="AJ135" s="11"/>
      <c r="AK135" s="11"/>
      <c r="AL135" s="11"/>
      <c r="AM135" s="11">
        <v>173</v>
      </c>
      <c r="AN135" s="11">
        <v>133</v>
      </c>
      <c r="AO135" s="11"/>
      <c r="AP135" s="11">
        <v>262</v>
      </c>
      <c r="AQ135" s="11">
        <v>694</v>
      </c>
      <c r="AR135" s="11"/>
      <c r="AS135" s="11"/>
      <c r="AT135" s="20" t="str">
        <f>HYPERLINK("http://www.openstreetmap.org/?mlat=33.4221&amp;mlon=43.2623&amp;zoom=12#map=12/33.4221/43.2623","Maplink1")</f>
        <v>Maplink1</v>
      </c>
      <c r="AU135" s="20" t="str">
        <f>HYPERLINK("https://www.google.iq/maps/search/+33.4221,43.2623/@33.4221,43.2623,14z?hl=en","Maplink2")</f>
        <v>Maplink2</v>
      </c>
      <c r="AV135" s="20" t="str">
        <f>HYPERLINK("http://www.bing.com/maps/?lvl=14&amp;sty=h&amp;cp=33.4221~43.2623&amp;sp=point.33.4221_43.2623","Maplink3")</f>
        <v>Maplink3</v>
      </c>
    </row>
    <row r="136" spans="1:48" x14ac:dyDescent="0.25">
      <c r="A136" s="9">
        <v>21997</v>
      </c>
      <c r="B136" s="10" t="s">
        <v>8</v>
      </c>
      <c r="C136" s="10" t="s">
        <v>280</v>
      </c>
      <c r="D136" s="10" t="s">
        <v>343</v>
      </c>
      <c r="E136" s="10" t="s">
        <v>344</v>
      </c>
      <c r="F136" s="10">
        <v>33.418559999999999</v>
      </c>
      <c r="G136" s="10">
        <v>43.280110000000001</v>
      </c>
      <c r="H136" s="11">
        <v>1478</v>
      </c>
      <c r="I136" s="11">
        <v>8868</v>
      </c>
      <c r="J136" s="11">
        <v>352</v>
      </c>
      <c r="K136" s="11"/>
      <c r="L136" s="11">
        <v>659</v>
      </c>
      <c r="M136" s="11"/>
      <c r="N136" s="11"/>
      <c r="O136" s="11"/>
      <c r="P136" s="11">
        <v>120</v>
      </c>
      <c r="Q136" s="11"/>
      <c r="R136" s="11">
        <v>347</v>
      </c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>
        <v>1388</v>
      </c>
      <c r="AD136" s="11"/>
      <c r="AE136" s="11"/>
      <c r="AF136" s="11"/>
      <c r="AG136" s="11"/>
      <c r="AH136" s="11"/>
      <c r="AI136" s="11">
        <v>90</v>
      </c>
      <c r="AJ136" s="11"/>
      <c r="AK136" s="11"/>
      <c r="AL136" s="11"/>
      <c r="AM136" s="11">
        <v>362</v>
      </c>
      <c r="AN136" s="11">
        <v>302</v>
      </c>
      <c r="AO136" s="11"/>
      <c r="AP136" s="11">
        <v>379</v>
      </c>
      <c r="AQ136" s="11">
        <v>435</v>
      </c>
      <c r="AR136" s="11"/>
      <c r="AS136" s="11"/>
      <c r="AT136" s="20" t="str">
        <f>HYPERLINK("http://www.openstreetmap.org/?mlat=33.4186&amp;mlon=43.2801&amp;zoom=12#map=12/33.4186/43.2801","Maplink1")</f>
        <v>Maplink1</v>
      </c>
      <c r="AU136" s="20" t="str">
        <f>HYPERLINK("https://www.google.iq/maps/search/+33.4186,43.2801/@33.4186,43.2801,14z?hl=en","Maplink2")</f>
        <v>Maplink2</v>
      </c>
      <c r="AV136" s="20" t="str">
        <f>HYPERLINK("http://www.bing.com/maps/?lvl=14&amp;sty=h&amp;cp=33.4186~43.2801&amp;sp=point.33.4186_43.2801","Maplink3")</f>
        <v>Maplink3</v>
      </c>
    </row>
    <row r="137" spans="1:48" x14ac:dyDescent="0.25">
      <c r="A137" s="9">
        <v>210</v>
      </c>
      <c r="B137" s="10" t="s">
        <v>8</v>
      </c>
      <c r="C137" s="10" t="s">
        <v>280</v>
      </c>
      <c r="D137" s="10" t="s">
        <v>345</v>
      </c>
      <c r="E137" s="10" t="s">
        <v>346</v>
      </c>
      <c r="F137" s="10">
        <v>33.42033</v>
      </c>
      <c r="G137" s="10">
        <v>43.272849999999998</v>
      </c>
      <c r="H137" s="11">
        <v>1064</v>
      </c>
      <c r="I137" s="11">
        <v>6384</v>
      </c>
      <c r="J137" s="11">
        <v>483</v>
      </c>
      <c r="K137" s="11"/>
      <c r="L137" s="11">
        <v>215</v>
      </c>
      <c r="M137" s="11"/>
      <c r="N137" s="11"/>
      <c r="O137" s="11"/>
      <c r="P137" s="11">
        <v>236</v>
      </c>
      <c r="Q137" s="11"/>
      <c r="R137" s="11">
        <v>130</v>
      </c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>
        <v>1064</v>
      </c>
      <c r="AD137" s="11"/>
      <c r="AE137" s="11"/>
      <c r="AF137" s="11"/>
      <c r="AG137" s="11"/>
      <c r="AH137" s="11"/>
      <c r="AI137" s="11"/>
      <c r="AJ137" s="11"/>
      <c r="AK137" s="11"/>
      <c r="AL137" s="11"/>
      <c r="AM137" s="11">
        <v>82</v>
      </c>
      <c r="AN137" s="11">
        <v>125</v>
      </c>
      <c r="AO137" s="11"/>
      <c r="AP137" s="11">
        <v>583</v>
      </c>
      <c r="AQ137" s="11">
        <v>274</v>
      </c>
      <c r="AR137" s="11"/>
      <c r="AS137" s="11"/>
      <c r="AT137" s="20" t="str">
        <f>HYPERLINK("http://www.openstreetmap.org/?mlat=33.4203&amp;mlon=43.2728&amp;zoom=12#map=12/33.4203/43.2728","Maplink1")</f>
        <v>Maplink1</v>
      </c>
      <c r="AU137" s="20" t="str">
        <f>HYPERLINK("https://www.google.iq/maps/search/+33.4203,43.2728/@33.4203,43.2728,14z?hl=en","Maplink2")</f>
        <v>Maplink2</v>
      </c>
      <c r="AV137" s="20" t="str">
        <f>HYPERLINK("http://www.bing.com/maps/?lvl=14&amp;sty=h&amp;cp=33.4203~43.2728&amp;sp=point.33.4203_43.2728","Maplink3")</f>
        <v>Maplink3</v>
      </c>
    </row>
    <row r="138" spans="1:48" x14ac:dyDescent="0.25">
      <c r="A138" s="9">
        <v>23602</v>
      </c>
      <c r="B138" s="10" t="s">
        <v>8</v>
      </c>
      <c r="C138" s="10" t="s">
        <v>280</v>
      </c>
      <c r="D138" s="10" t="s">
        <v>347</v>
      </c>
      <c r="E138" s="10" t="s">
        <v>348</v>
      </c>
      <c r="F138" s="10">
        <v>33.417470000000002</v>
      </c>
      <c r="G138" s="10">
        <v>43.30715</v>
      </c>
      <c r="H138" s="11">
        <v>1817</v>
      </c>
      <c r="I138" s="11">
        <v>10902</v>
      </c>
      <c r="J138" s="11">
        <v>1364</v>
      </c>
      <c r="K138" s="11"/>
      <c r="L138" s="11">
        <v>247</v>
      </c>
      <c r="M138" s="11"/>
      <c r="N138" s="11"/>
      <c r="O138" s="11"/>
      <c r="P138" s="11"/>
      <c r="Q138" s="11"/>
      <c r="R138" s="11">
        <v>206</v>
      </c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>
        <v>1758</v>
      </c>
      <c r="AD138" s="11"/>
      <c r="AE138" s="11"/>
      <c r="AF138" s="11"/>
      <c r="AG138" s="11"/>
      <c r="AH138" s="11"/>
      <c r="AI138" s="11">
        <v>59</v>
      </c>
      <c r="AJ138" s="11"/>
      <c r="AK138" s="11"/>
      <c r="AL138" s="11"/>
      <c r="AM138" s="11">
        <v>376</v>
      </c>
      <c r="AN138" s="11"/>
      <c r="AO138" s="11"/>
      <c r="AP138" s="11"/>
      <c r="AQ138" s="11">
        <v>1441</v>
      </c>
      <c r="AR138" s="11"/>
      <c r="AS138" s="11"/>
      <c r="AT138" s="20" t="str">
        <f>HYPERLINK("http://www.openstreetmap.org/?mlat=33.4175&amp;mlon=43.3072&amp;zoom=12#map=12/33.4175/43.3072","Maplink1")</f>
        <v>Maplink1</v>
      </c>
      <c r="AU138" s="20" t="str">
        <f>HYPERLINK("https://www.google.iq/maps/search/+33.4175,43.3072/@33.4175,43.3072,14z?hl=en","Maplink2")</f>
        <v>Maplink2</v>
      </c>
      <c r="AV138" s="20" t="str">
        <f>HYPERLINK("http://www.bing.com/maps/?lvl=14&amp;sty=h&amp;cp=33.4175~43.3072&amp;sp=point.33.4175_43.3072","Maplink3")</f>
        <v>Maplink3</v>
      </c>
    </row>
    <row r="139" spans="1:48" x14ac:dyDescent="0.25">
      <c r="A139" s="9">
        <v>23023</v>
      </c>
      <c r="B139" s="10" t="s">
        <v>8</v>
      </c>
      <c r="C139" s="10" t="s">
        <v>280</v>
      </c>
      <c r="D139" s="10" t="s">
        <v>349</v>
      </c>
      <c r="E139" s="10" t="s">
        <v>350</v>
      </c>
      <c r="F139" s="10">
        <v>33.422249999999998</v>
      </c>
      <c r="G139" s="10">
        <v>43.320779999999999</v>
      </c>
      <c r="H139" s="11">
        <v>1730</v>
      </c>
      <c r="I139" s="11">
        <v>10380</v>
      </c>
      <c r="J139" s="11">
        <v>949</v>
      </c>
      <c r="K139" s="11"/>
      <c r="L139" s="11">
        <v>112</v>
      </c>
      <c r="M139" s="11"/>
      <c r="N139" s="11"/>
      <c r="O139" s="11"/>
      <c r="P139" s="11">
        <v>491</v>
      </c>
      <c r="Q139" s="11"/>
      <c r="R139" s="11"/>
      <c r="S139" s="11"/>
      <c r="T139" s="11"/>
      <c r="U139" s="11"/>
      <c r="V139" s="11"/>
      <c r="W139" s="11"/>
      <c r="X139" s="11"/>
      <c r="Y139" s="11">
        <v>178</v>
      </c>
      <c r="Z139" s="11"/>
      <c r="AA139" s="11"/>
      <c r="AB139" s="11"/>
      <c r="AC139" s="11">
        <v>1569</v>
      </c>
      <c r="AD139" s="11"/>
      <c r="AE139" s="11"/>
      <c r="AF139" s="11"/>
      <c r="AG139" s="11"/>
      <c r="AH139" s="11"/>
      <c r="AI139" s="11">
        <v>161</v>
      </c>
      <c r="AJ139" s="11"/>
      <c r="AK139" s="11"/>
      <c r="AL139" s="11"/>
      <c r="AM139" s="11">
        <v>390</v>
      </c>
      <c r="AN139" s="11"/>
      <c r="AO139" s="11"/>
      <c r="AP139" s="11">
        <v>179</v>
      </c>
      <c r="AQ139" s="11">
        <v>1161</v>
      </c>
      <c r="AR139" s="11"/>
      <c r="AS139" s="11"/>
      <c r="AT139" s="20" t="str">
        <f>HYPERLINK("http://www.openstreetmap.org/?mlat=33.4222&amp;mlon=43.3208&amp;zoom=12#map=12/33.4222/43.3208","Maplink1")</f>
        <v>Maplink1</v>
      </c>
      <c r="AU139" s="20" t="str">
        <f>HYPERLINK("https://www.google.iq/maps/search/+33.4222,43.3208/@33.4222,43.3208,14z?hl=en","Maplink2")</f>
        <v>Maplink2</v>
      </c>
      <c r="AV139" s="20" t="str">
        <f>HYPERLINK("http://www.bing.com/maps/?lvl=14&amp;sty=h&amp;cp=33.4222~43.3208&amp;sp=point.33.4222_43.3208","Maplink3")</f>
        <v>Maplink3</v>
      </c>
    </row>
    <row r="140" spans="1:48" x14ac:dyDescent="0.25">
      <c r="A140" s="9">
        <v>23887</v>
      </c>
      <c r="B140" s="10" t="s">
        <v>8</v>
      </c>
      <c r="C140" s="10" t="s">
        <v>280</v>
      </c>
      <c r="D140" s="10" t="s">
        <v>351</v>
      </c>
      <c r="E140" s="10" t="s">
        <v>108</v>
      </c>
      <c r="F140" s="10">
        <v>33.38147</v>
      </c>
      <c r="G140" s="10">
        <v>43.530369999999998</v>
      </c>
      <c r="H140" s="11">
        <v>386</v>
      </c>
      <c r="I140" s="11">
        <v>2316</v>
      </c>
      <c r="J140" s="11">
        <v>23</v>
      </c>
      <c r="K140" s="11"/>
      <c r="L140" s="11">
        <v>109</v>
      </c>
      <c r="M140" s="11"/>
      <c r="N140" s="11">
        <v>80</v>
      </c>
      <c r="O140" s="11"/>
      <c r="P140" s="11"/>
      <c r="Q140" s="11"/>
      <c r="R140" s="11">
        <v>174</v>
      </c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>
        <v>386</v>
      </c>
      <c r="AD140" s="11"/>
      <c r="AE140" s="11"/>
      <c r="AF140" s="11"/>
      <c r="AG140" s="11"/>
      <c r="AH140" s="11"/>
      <c r="AI140" s="11"/>
      <c r="AJ140" s="11"/>
      <c r="AK140" s="11"/>
      <c r="AL140" s="11"/>
      <c r="AM140" s="11">
        <v>23</v>
      </c>
      <c r="AN140" s="11"/>
      <c r="AO140" s="11"/>
      <c r="AP140" s="11">
        <v>80</v>
      </c>
      <c r="AQ140" s="11">
        <v>283</v>
      </c>
      <c r="AR140" s="11"/>
      <c r="AS140" s="11"/>
      <c r="AT140" s="20" t="str">
        <f>HYPERLINK("http://www.openstreetmap.org/?mlat=33.3815&amp;mlon=43.5304&amp;zoom=12#map=12/33.3815/43.5304","Maplink1")</f>
        <v>Maplink1</v>
      </c>
      <c r="AU140" s="20" t="str">
        <f>HYPERLINK("https://www.google.iq/maps/search/+33.3815,43.5304/@33.3815,43.5304,14z?hl=en","Maplink2")</f>
        <v>Maplink2</v>
      </c>
      <c r="AV140" s="20" t="str">
        <f>HYPERLINK("http://www.bing.com/maps/?lvl=14&amp;sty=h&amp;cp=33.3815~43.5304&amp;sp=point.33.3815_43.5304","Maplink3")</f>
        <v>Maplink3</v>
      </c>
    </row>
    <row r="141" spans="1:48" x14ac:dyDescent="0.25">
      <c r="A141" s="9">
        <v>23853</v>
      </c>
      <c r="B141" s="10" t="s">
        <v>8</v>
      </c>
      <c r="C141" s="10" t="s">
        <v>280</v>
      </c>
      <c r="D141" s="10" t="s">
        <v>352</v>
      </c>
      <c r="E141" s="10" t="s">
        <v>353</v>
      </c>
      <c r="F141" s="10">
        <v>33.374490000000002</v>
      </c>
      <c r="G141" s="10">
        <v>43.588979999999999</v>
      </c>
      <c r="H141" s="11">
        <v>481</v>
      </c>
      <c r="I141" s="11">
        <v>2886</v>
      </c>
      <c r="J141" s="11">
        <v>189</v>
      </c>
      <c r="K141" s="11"/>
      <c r="L141" s="11">
        <v>86</v>
      </c>
      <c r="M141" s="11"/>
      <c r="N141" s="11">
        <v>56</v>
      </c>
      <c r="O141" s="11"/>
      <c r="P141" s="11"/>
      <c r="Q141" s="11"/>
      <c r="R141" s="11">
        <v>150</v>
      </c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>
        <v>481</v>
      </c>
      <c r="AD141" s="11"/>
      <c r="AE141" s="11"/>
      <c r="AF141" s="11"/>
      <c r="AG141" s="11"/>
      <c r="AH141" s="11"/>
      <c r="AI141" s="11"/>
      <c r="AJ141" s="11"/>
      <c r="AK141" s="11"/>
      <c r="AL141" s="11"/>
      <c r="AM141" s="11">
        <v>171</v>
      </c>
      <c r="AN141" s="11">
        <v>79</v>
      </c>
      <c r="AO141" s="11"/>
      <c r="AP141" s="11">
        <v>56</v>
      </c>
      <c r="AQ141" s="11">
        <v>149</v>
      </c>
      <c r="AR141" s="11">
        <v>26</v>
      </c>
      <c r="AS141" s="11"/>
      <c r="AT141" s="20" t="str">
        <f>HYPERLINK("http://www.openstreetmap.org/?mlat=33.3745&amp;mlon=43.589&amp;zoom=12#map=12/33.3745/43.589","Maplink1")</f>
        <v>Maplink1</v>
      </c>
      <c r="AU141" s="20" t="str">
        <f>HYPERLINK("https://www.google.iq/maps/search/+33.3745,43.589/@33.3745,43.589,14z?hl=en","Maplink2")</f>
        <v>Maplink2</v>
      </c>
      <c r="AV141" s="20" t="str">
        <f>HYPERLINK("http://www.bing.com/maps/?lvl=14&amp;sty=h&amp;cp=33.3745~43.589&amp;sp=point.33.3745_43.589","Maplink3")</f>
        <v>Maplink3</v>
      </c>
    </row>
    <row r="142" spans="1:48" x14ac:dyDescent="0.25">
      <c r="A142" s="9">
        <v>21409</v>
      </c>
      <c r="B142" s="10" t="s">
        <v>8</v>
      </c>
      <c r="C142" s="10" t="s">
        <v>280</v>
      </c>
      <c r="D142" s="10" t="s">
        <v>354</v>
      </c>
      <c r="E142" s="10" t="s">
        <v>355</v>
      </c>
      <c r="F142" s="10">
        <v>33.39284</v>
      </c>
      <c r="G142" s="10">
        <v>43.507910000000003</v>
      </c>
      <c r="H142" s="11">
        <v>436</v>
      </c>
      <c r="I142" s="11">
        <v>2616</v>
      </c>
      <c r="J142" s="11">
        <v>96</v>
      </c>
      <c r="K142" s="11"/>
      <c r="L142" s="11">
        <v>205</v>
      </c>
      <c r="M142" s="11"/>
      <c r="N142" s="11"/>
      <c r="O142" s="11"/>
      <c r="P142" s="11"/>
      <c r="Q142" s="11"/>
      <c r="R142" s="11">
        <v>135</v>
      </c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>
        <v>436</v>
      </c>
      <c r="AD142" s="11"/>
      <c r="AE142" s="11"/>
      <c r="AF142" s="11"/>
      <c r="AG142" s="11"/>
      <c r="AH142" s="11"/>
      <c r="AI142" s="11"/>
      <c r="AJ142" s="11"/>
      <c r="AK142" s="11"/>
      <c r="AL142" s="11"/>
      <c r="AM142" s="11">
        <v>125</v>
      </c>
      <c r="AN142" s="11"/>
      <c r="AO142" s="11"/>
      <c r="AP142" s="11">
        <v>114</v>
      </c>
      <c r="AQ142" s="11">
        <v>197</v>
      </c>
      <c r="AR142" s="11"/>
      <c r="AS142" s="11"/>
      <c r="AT142" s="20" t="str">
        <f>HYPERLINK("http://www.openstreetmap.org/?mlat=33.3928&amp;mlon=43.5079&amp;zoom=12#map=12/33.3928/43.5079","Maplink1")</f>
        <v>Maplink1</v>
      </c>
      <c r="AU142" s="20" t="str">
        <f>HYPERLINK("https://www.google.iq/maps/search/+33.3928,43.5079/@33.3928,43.5079,14z?hl=en","Maplink2")</f>
        <v>Maplink2</v>
      </c>
      <c r="AV142" s="20" t="str">
        <f>HYPERLINK("http://www.bing.com/maps/?lvl=14&amp;sty=h&amp;cp=33.3928~43.5079&amp;sp=point.33.3928_43.5079","Maplink3")</f>
        <v>Maplink3</v>
      </c>
    </row>
    <row r="143" spans="1:48" x14ac:dyDescent="0.25">
      <c r="A143" s="9">
        <v>113</v>
      </c>
      <c r="B143" s="10" t="s">
        <v>8</v>
      </c>
      <c r="C143" s="10" t="s">
        <v>280</v>
      </c>
      <c r="D143" s="10" t="s">
        <v>356</v>
      </c>
      <c r="E143" s="10" t="s">
        <v>357</v>
      </c>
      <c r="F143" s="10">
        <v>33.419719999999998</v>
      </c>
      <c r="G143" s="10">
        <v>43.433489999999999</v>
      </c>
      <c r="H143" s="11">
        <v>1583</v>
      </c>
      <c r="I143" s="11">
        <v>9498</v>
      </c>
      <c r="J143" s="11">
        <v>965</v>
      </c>
      <c r="K143" s="11">
        <v>46</v>
      </c>
      <c r="L143" s="11">
        <v>286</v>
      </c>
      <c r="M143" s="11"/>
      <c r="N143" s="11"/>
      <c r="O143" s="11"/>
      <c r="P143" s="11">
        <v>36</v>
      </c>
      <c r="Q143" s="11"/>
      <c r="R143" s="11">
        <v>200</v>
      </c>
      <c r="S143" s="11"/>
      <c r="T143" s="11"/>
      <c r="U143" s="11"/>
      <c r="V143" s="11"/>
      <c r="W143" s="11"/>
      <c r="X143" s="11"/>
      <c r="Y143" s="11">
        <v>50</v>
      </c>
      <c r="Z143" s="11"/>
      <c r="AA143" s="11"/>
      <c r="AB143" s="11"/>
      <c r="AC143" s="11">
        <v>1583</v>
      </c>
      <c r="AD143" s="11"/>
      <c r="AE143" s="11"/>
      <c r="AF143" s="11"/>
      <c r="AG143" s="11"/>
      <c r="AH143" s="11"/>
      <c r="AI143" s="11"/>
      <c r="AJ143" s="11"/>
      <c r="AK143" s="11"/>
      <c r="AL143" s="11"/>
      <c r="AM143" s="11">
        <v>108</v>
      </c>
      <c r="AN143" s="11"/>
      <c r="AO143" s="11"/>
      <c r="AP143" s="11">
        <v>536</v>
      </c>
      <c r="AQ143" s="11">
        <v>781</v>
      </c>
      <c r="AR143" s="11">
        <v>158</v>
      </c>
      <c r="AS143" s="11"/>
      <c r="AT143" s="20" t="str">
        <f>HYPERLINK("http://www.openstreetmap.org/?mlat=33.4197&amp;mlon=43.4335&amp;zoom=12#map=12/33.4197/43.4335","Maplink1")</f>
        <v>Maplink1</v>
      </c>
      <c r="AU143" s="20" t="str">
        <f>HYPERLINK("https://www.google.iq/maps/search/+33.4197,43.4335/@33.4197,43.4335,14z?hl=en","Maplink2")</f>
        <v>Maplink2</v>
      </c>
      <c r="AV143" s="20" t="str">
        <f>HYPERLINK("http://www.bing.com/maps/?lvl=14&amp;sty=h&amp;cp=33.4197~43.4335&amp;sp=point.33.4197_43.4335","Maplink3")</f>
        <v>Maplink3</v>
      </c>
    </row>
    <row r="144" spans="1:48" x14ac:dyDescent="0.25">
      <c r="A144" s="9">
        <v>29485</v>
      </c>
      <c r="B144" s="10" t="s">
        <v>8</v>
      </c>
      <c r="C144" s="10" t="s">
        <v>280</v>
      </c>
      <c r="D144" s="10" t="s">
        <v>358</v>
      </c>
      <c r="E144" s="10" t="s">
        <v>359</v>
      </c>
      <c r="F144" s="10">
        <v>33.437010000000001</v>
      </c>
      <c r="G144" s="10">
        <v>43.396839999999997</v>
      </c>
      <c r="H144" s="11">
        <v>1969</v>
      </c>
      <c r="I144" s="11">
        <v>11814</v>
      </c>
      <c r="J144" s="11">
        <v>1637</v>
      </c>
      <c r="K144" s="11"/>
      <c r="L144" s="11">
        <v>132</v>
      </c>
      <c r="M144" s="11"/>
      <c r="N144" s="11"/>
      <c r="O144" s="11"/>
      <c r="P144" s="11"/>
      <c r="Q144" s="11"/>
      <c r="R144" s="11">
        <v>200</v>
      </c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>
        <v>1969</v>
      </c>
      <c r="AD144" s="11"/>
      <c r="AE144" s="11"/>
      <c r="AF144" s="11"/>
      <c r="AG144" s="11"/>
      <c r="AH144" s="11"/>
      <c r="AI144" s="11"/>
      <c r="AJ144" s="11"/>
      <c r="AK144" s="11"/>
      <c r="AL144" s="11"/>
      <c r="AM144" s="11">
        <v>252</v>
      </c>
      <c r="AN144" s="11"/>
      <c r="AO144" s="11"/>
      <c r="AP144" s="11">
        <v>1377</v>
      </c>
      <c r="AQ144" s="11">
        <v>340</v>
      </c>
      <c r="AR144" s="11"/>
      <c r="AS144" s="11"/>
      <c r="AT144" s="20" t="str">
        <f>HYPERLINK("http://www.openstreetmap.org/?mlat=33.437&amp;mlon=43.3968&amp;zoom=12#map=12/33.437/43.3968","Maplink1")</f>
        <v>Maplink1</v>
      </c>
      <c r="AU144" s="20" t="str">
        <f>HYPERLINK("https://www.google.iq/maps/search/+33.437,43.3968/@33.437,43.3968,14z?hl=en","Maplink2")</f>
        <v>Maplink2</v>
      </c>
      <c r="AV144" s="20" t="str">
        <f>HYPERLINK("http://www.bing.com/maps/?lvl=14&amp;sty=h&amp;cp=33.437~43.3968&amp;sp=point.33.437_43.3968","Maplink3")</f>
        <v>Maplink3</v>
      </c>
    </row>
    <row r="145" spans="1:48" x14ac:dyDescent="0.25">
      <c r="A145" s="9">
        <v>308</v>
      </c>
      <c r="B145" s="10" t="s">
        <v>8</v>
      </c>
      <c r="C145" s="10" t="s">
        <v>280</v>
      </c>
      <c r="D145" s="10" t="s">
        <v>360</v>
      </c>
      <c r="E145" s="10" t="s">
        <v>361</v>
      </c>
      <c r="F145" s="10">
        <v>33.421050000000001</v>
      </c>
      <c r="G145" s="10">
        <v>43.245719999999999</v>
      </c>
      <c r="H145" s="11">
        <v>1076</v>
      </c>
      <c r="I145" s="11">
        <v>6456</v>
      </c>
      <c r="J145" s="11">
        <v>574</v>
      </c>
      <c r="K145" s="11">
        <v>98</v>
      </c>
      <c r="L145" s="11">
        <v>157</v>
      </c>
      <c r="M145" s="11"/>
      <c r="N145" s="11"/>
      <c r="O145" s="11"/>
      <c r="P145" s="11">
        <v>79</v>
      </c>
      <c r="Q145" s="11"/>
      <c r="R145" s="11">
        <v>98</v>
      </c>
      <c r="S145" s="11"/>
      <c r="T145" s="11"/>
      <c r="U145" s="11"/>
      <c r="V145" s="11"/>
      <c r="W145" s="11"/>
      <c r="X145" s="11"/>
      <c r="Y145" s="11">
        <v>70</v>
      </c>
      <c r="Z145" s="11"/>
      <c r="AA145" s="11"/>
      <c r="AB145" s="11"/>
      <c r="AC145" s="11">
        <v>957</v>
      </c>
      <c r="AD145" s="11"/>
      <c r="AE145" s="11"/>
      <c r="AF145" s="11"/>
      <c r="AG145" s="11"/>
      <c r="AH145" s="11"/>
      <c r="AI145" s="11">
        <v>119</v>
      </c>
      <c r="AJ145" s="11"/>
      <c r="AK145" s="11"/>
      <c r="AL145" s="11"/>
      <c r="AM145" s="11">
        <v>328</v>
      </c>
      <c r="AN145" s="11"/>
      <c r="AO145" s="11"/>
      <c r="AP145" s="11">
        <v>262</v>
      </c>
      <c r="AQ145" s="11">
        <v>486</v>
      </c>
      <c r="AR145" s="11"/>
      <c r="AS145" s="11"/>
      <c r="AT145" s="20" t="str">
        <f>HYPERLINK("http://www.openstreetmap.org/?mlat=33.4211&amp;mlon=43.2457&amp;zoom=12#map=12/33.4211/43.2457","Maplink1")</f>
        <v>Maplink1</v>
      </c>
      <c r="AU145" s="20" t="str">
        <f>HYPERLINK("https://www.google.iq/maps/search/+33.4211,43.2457/@33.4211,43.2457,14z?hl=en","Maplink2")</f>
        <v>Maplink2</v>
      </c>
      <c r="AV145" s="20" t="str">
        <f>HYPERLINK("http://www.bing.com/maps/?lvl=14&amp;sty=h&amp;cp=33.4211~43.2457&amp;sp=point.33.4211_43.2457","Maplink3")</f>
        <v>Maplink3</v>
      </c>
    </row>
    <row r="146" spans="1:48" x14ac:dyDescent="0.25">
      <c r="A146" s="9">
        <v>182</v>
      </c>
      <c r="B146" s="10" t="s">
        <v>8</v>
      </c>
      <c r="C146" s="10" t="s">
        <v>280</v>
      </c>
      <c r="D146" s="10" t="s">
        <v>362</v>
      </c>
      <c r="E146" s="10" t="s">
        <v>363</v>
      </c>
      <c r="F146" s="10">
        <v>33.413330000000002</v>
      </c>
      <c r="G146" s="10">
        <v>43.276809999999998</v>
      </c>
      <c r="H146" s="11">
        <v>1458</v>
      </c>
      <c r="I146" s="11">
        <v>8748</v>
      </c>
      <c r="J146" s="11">
        <v>650</v>
      </c>
      <c r="K146" s="11"/>
      <c r="L146" s="11">
        <v>447</v>
      </c>
      <c r="M146" s="11"/>
      <c r="N146" s="11"/>
      <c r="O146" s="11"/>
      <c r="P146" s="11">
        <v>261</v>
      </c>
      <c r="Q146" s="11"/>
      <c r="R146" s="11">
        <v>100</v>
      </c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>
        <v>1326</v>
      </c>
      <c r="AD146" s="11"/>
      <c r="AE146" s="11"/>
      <c r="AF146" s="11"/>
      <c r="AG146" s="11"/>
      <c r="AH146" s="11"/>
      <c r="AI146" s="11">
        <v>132</v>
      </c>
      <c r="AJ146" s="11"/>
      <c r="AK146" s="11"/>
      <c r="AL146" s="11"/>
      <c r="AM146" s="11">
        <v>1041</v>
      </c>
      <c r="AN146" s="11"/>
      <c r="AO146" s="11"/>
      <c r="AP146" s="11">
        <v>128</v>
      </c>
      <c r="AQ146" s="11">
        <v>289</v>
      </c>
      <c r="AR146" s="11"/>
      <c r="AS146" s="11"/>
      <c r="AT146" s="20" t="str">
        <f>HYPERLINK("http://www.openstreetmap.org/?mlat=33.4133&amp;mlon=43.2768&amp;zoom=12#map=12/33.4133/43.2768","Maplink1")</f>
        <v>Maplink1</v>
      </c>
      <c r="AU146" s="20" t="str">
        <f>HYPERLINK("https://www.google.iq/maps/search/+33.4133,43.2768/@33.4133,43.2768,14z?hl=en","Maplink2")</f>
        <v>Maplink2</v>
      </c>
      <c r="AV146" s="20" t="str">
        <f>HYPERLINK("http://www.bing.com/maps/?lvl=14&amp;sty=h&amp;cp=33.4133~43.2768&amp;sp=point.33.4133_43.2768","Maplink3")</f>
        <v>Maplink3</v>
      </c>
    </row>
    <row r="147" spans="1:48" x14ac:dyDescent="0.25">
      <c r="A147" s="9">
        <v>20901</v>
      </c>
      <c r="B147" s="10" t="s">
        <v>8</v>
      </c>
      <c r="C147" s="10" t="s">
        <v>280</v>
      </c>
      <c r="D147" s="10" t="s">
        <v>364</v>
      </c>
      <c r="E147" s="10" t="s">
        <v>365</v>
      </c>
      <c r="F147" s="10">
        <v>33.366390000000003</v>
      </c>
      <c r="G147" s="10">
        <v>43.617139999999999</v>
      </c>
      <c r="H147" s="11">
        <v>296</v>
      </c>
      <c r="I147" s="11">
        <v>1776</v>
      </c>
      <c r="J147" s="11">
        <v>56</v>
      </c>
      <c r="K147" s="11"/>
      <c r="L147" s="11">
        <v>116</v>
      </c>
      <c r="M147" s="11"/>
      <c r="N147" s="11"/>
      <c r="O147" s="11"/>
      <c r="P147" s="11"/>
      <c r="Q147" s="11"/>
      <c r="R147" s="11">
        <v>124</v>
      </c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>
        <v>296</v>
      </c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>
        <v>240</v>
      </c>
      <c r="AQ147" s="11">
        <v>56</v>
      </c>
      <c r="AR147" s="11"/>
      <c r="AS147" s="11"/>
      <c r="AT147" s="20" t="str">
        <f>HYPERLINK("http://www.openstreetmap.org/?mlat=33.3664&amp;mlon=43.6171&amp;zoom=12#map=12/33.3664/43.6171","Maplink1")</f>
        <v>Maplink1</v>
      </c>
      <c r="AU147" s="20" t="str">
        <f>HYPERLINK("https://www.google.iq/maps/search/+33.3664,43.6171/@33.3664,43.6171,14z?hl=en","Maplink2")</f>
        <v>Maplink2</v>
      </c>
      <c r="AV147" s="20" t="str">
        <f>HYPERLINK("http://www.bing.com/maps/?lvl=14&amp;sty=h&amp;cp=33.3664~43.6171&amp;sp=point.33.3664_43.6171","Maplink3")</f>
        <v>Maplink3</v>
      </c>
    </row>
    <row r="148" spans="1:48" x14ac:dyDescent="0.25">
      <c r="A148" s="9">
        <v>29476</v>
      </c>
      <c r="B148" s="10" t="s">
        <v>8</v>
      </c>
      <c r="C148" s="10" t="s">
        <v>280</v>
      </c>
      <c r="D148" s="10" t="s">
        <v>366</v>
      </c>
      <c r="E148" s="10" t="s">
        <v>367</v>
      </c>
      <c r="F148" s="10">
        <v>33.466479999999997</v>
      </c>
      <c r="G148" s="10">
        <v>43.043779999999998</v>
      </c>
      <c r="H148" s="11">
        <v>3698</v>
      </c>
      <c r="I148" s="11">
        <v>22188</v>
      </c>
      <c r="J148" s="11">
        <v>3518</v>
      </c>
      <c r="K148" s="11"/>
      <c r="L148" s="11"/>
      <c r="M148" s="11"/>
      <c r="N148" s="11"/>
      <c r="O148" s="11"/>
      <c r="P148" s="11"/>
      <c r="Q148" s="11"/>
      <c r="R148" s="11">
        <v>180</v>
      </c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>
        <v>3698</v>
      </c>
      <c r="AD148" s="11"/>
      <c r="AE148" s="11"/>
      <c r="AF148" s="11"/>
      <c r="AG148" s="11"/>
      <c r="AH148" s="11"/>
      <c r="AI148" s="11"/>
      <c r="AJ148" s="11"/>
      <c r="AK148" s="11"/>
      <c r="AL148" s="11"/>
      <c r="AM148" s="11">
        <v>259</v>
      </c>
      <c r="AN148" s="11"/>
      <c r="AO148" s="11"/>
      <c r="AP148" s="11">
        <v>153</v>
      </c>
      <c r="AQ148" s="11">
        <v>172</v>
      </c>
      <c r="AR148" s="11">
        <v>3114</v>
      </c>
      <c r="AS148" s="11"/>
      <c r="AT148" s="20" t="str">
        <f>HYPERLINK("http://www.openstreetmap.org/?mlat=33.4665&amp;mlon=43.0438&amp;zoom=12#map=12/33.4665/43.0438","Maplink1")</f>
        <v>Maplink1</v>
      </c>
      <c r="AU148" s="20" t="str">
        <f>HYPERLINK("https://www.google.iq/maps/search/+33.4665,43.0438/@33.4665,43.0438,14z?hl=en","Maplink2")</f>
        <v>Maplink2</v>
      </c>
      <c r="AV148" s="20" t="str">
        <f>HYPERLINK("http://www.bing.com/maps/?lvl=14&amp;sty=h&amp;cp=33.4665~43.0438&amp;sp=point.33.4665_43.0438","Maplink3")</f>
        <v>Maplink3</v>
      </c>
    </row>
    <row r="149" spans="1:48" x14ac:dyDescent="0.25">
      <c r="A149" s="9">
        <v>184</v>
      </c>
      <c r="B149" s="10" t="s">
        <v>8</v>
      </c>
      <c r="C149" s="10" t="s">
        <v>280</v>
      </c>
      <c r="D149" s="10" t="s">
        <v>368</v>
      </c>
      <c r="E149" s="10" t="s">
        <v>369</v>
      </c>
      <c r="F149" s="10">
        <v>33.434019999999997</v>
      </c>
      <c r="G149" s="10">
        <v>43.275489999999998</v>
      </c>
      <c r="H149" s="11">
        <v>1999</v>
      </c>
      <c r="I149" s="11">
        <v>11994</v>
      </c>
      <c r="J149" s="11">
        <v>1014</v>
      </c>
      <c r="K149" s="11"/>
      <c r="L149" s="11">
        <v>516</v>
      </c>
      <c r="M149" s="11"/>
      <c r="N149" s="11"/>
      <c r="O149" s="11"/>
      <c r="P149" s="11">
        <v>280</v>
      </c>
      <c r="Q149" s="11"/>
      <c r="R149" s="11">
        <v>189</v>
      </c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>
        <v>1934</v>
      </c>
      <c r="AD149" s="11"/>
      <c r="AE149" s="11"/>
      <c r="AF149" s="11"/>
      <c r="AG149" s="11"/>
      <c r="AH149" s="11"/>
      <c r="AI149" s="11">
        <v>65</v>
      </c>
      <c r="AJ149" s="11"/>
      <c r="AK149" s="11"/>
      <c r="AL149" s="11"/>
      <c r="AM149" s="11">
        <v>999</v>
      </c>
      <c r="AN149" s="11"/>
      <c r="AO149" s="11"/>
      <c r="AP149" s="11">
        <v>242</v>
      </c>
      <c r="AQ149" s="11">
        <v>669</v>
      </c>
      <c r="AR149" s="11">
        <v>89</v>
      </c>
      <c r="AS149" s="11"/>
      <c r="AT149" s="20" t="str">
        <f>HYPERLINK("http://www.openstreetmap.org/?mlat=33.434&amp;mlon=43.2755&amp;zoom=12#map=12/33.434/43.2755","Maplink1")</f>
        <v>Maplink1</v>
      </c>
      <c r="AU149" s="20" t="str">
        <f>HYPERLINK("https://www.google.iq/maps/search/+33.434,43.2755/@33.434,43.2755,14z?hl=en","Maplink2")</f>
        <v>Maplink2</v>
      </c>
      <c r="AV149" s="20" t="str">
        <f>HYPERLINK("http://www.bing.com/maps/?lvl=14&amp;sty=h&amp;cp=33.434~43.2755&amp;sp=point.33.434_43.2755","Maplink3")</f>
        <v>Maplink3</v>
      </c>
    </row>
    <row r="150" spans="1:48" x14ac:dyDescent="0.25">
      <c r="A150" s="9">
        <v>29475</v>
      </c>
      <c r="B150" s="10" t="s">
        <v>8</v>
      </c>
      <c r="C150" s="10" t="s">
        <v>280</v>
      </c>
      <c r="D150" s="10" t="s">
        <v>370</v>
      </c>
      <c r="E150" s="10" t="s">
        <v>371</v>
      </c>
      <c r="F150" s="10">
        <v>33.480319999999999</v>
      </c>
      <c r="G150" s="10">
        <v>43.157290000000003</v>
      </c>
      <c r="H150" s="11">
        <v>5380</v>
      </c>
      <c r="I150" s="11">
        <v>32280</v>
      </c>
      <c r="J150" s="11">
        <v>4902</v>
      </c>
      <c r="K150" s="11"/>
      <c r="L150" s="11"/>
      <c r="M150" s="11"/>
      <c r="N150" s="11"/>
      <c r="O150" s="11"/>
      <c r="P150" s="11"/>
      <c r="Q150" s="11"/>
      <c r="R150" s="11">
        <v>228</v>
      </c>
      <c r="S150" s="11"/>
      <c r="T150" s="11"/>
      <c r="U150" s="11"/>
      <c r="V150" s="11"/>
      <c r="W150" s="11"/>
      <c r="X150" s="11"/>
      <c r="Y150" s="11">
        <v>250</v>
      </c>
      <c r="Z150" s="11"/>
      <c r="AA150" s="11"/>
      <c r="AB150" s="11"/>
      <c r="AC150" s="11">
        <v>5380</v>
      </c>
      <c r="AD150" s="11"/>
      <c r="AE150" s="11"/>
      <c r="AF150" s="11"/>
      <c r="AG150" s="11"/>
      <c r="AH150" s="11"/>
      <c r="AI150" s="11"/>
      <c r="AJ150" s="11"/>
      <c r="AK150" s="11"/>
      <c r="AL150" s="11"/>
      <c r="AM150" s="11">
        <v>344</v>
      </c>
      <c r="AN150" s="11"/>
      <c r="AO150" s="11"/>
      <c r="AP150" s="11">
        <v>228</v>
      </c>
      <c r="AQ150" s="11">
        <v>438</v>
      </c>
      <c r="AR150" s="11">
        <v>4370</v>
      </c>
      <c r="AS150" s="11"/>
      <c r="AT150" s="20" t="str">
        <f>HYPERLINK("http://www.openstreetmap.org/?mlat=33.4803&amp;mlon=43.1573&amp;zoom=12#map=12/33.4803/43.1573","Maplink1")</f>
        <v>Maplink1</v>
      </c>
      <c r="AU150" s="20" t="str">
        <f>HYPERLINK("https://www.google.iq/maps/search/+33.4803,43.1573/@33.4803,43.1573,14z?hl=en","Maplink2")</f>
        <v>Maplink2</v>
      </c>
      <c r="AV150" s="20" t="str">
        <f>HYPERLINK("http://www.bing.com/maps/?lvl=14&amp;sty=h&amp;cp=33.4803~43.1573&amp;sp=point.33.4803_43.1573","Maplink3")</f>
        <v>Maplink3</v>
      </c>
    </row>
    <row r="151" spans="1:48" x14ac:dyDescent="0.25">
      <c r="A151" s="9">
        <v>23856</v>
      </c>
      <c r="B151" s="10" t="s">
        <v>8</v>
      </c>
      <c r="C151" s="10" t="s">
        <v>280</v>
      </c>
      <c r="D151" s="10" t="s">
        <v>372</v>
      </c>
      <c r="E151" s="10" t="s">
        <v>373</v>
      </c>
      <c r="F151" s="10">
        <v>33.383929999999999</v>
      </c>
      <c r="G151" s="10">
        <v>43.604190000000003</v>
      </c>
      <c r="H151" s="11">
        <v>453</v>
      </c>
      <c r="I151" s="11">
        <v>2718</v>
      </c>
      <c r="J151" s="11">
        <v>300</v>
      </c>
      <c r="K151" s="11"/>
      <c r="L151" s="11"/>
      <c r="M151" s="11"/>
      <c r="N151" s="11"/>
      <c r="O151" s="11"/>
      <c r="P151" s="11"/>
      <c r="Q151" s="11"/>
      <c r="R151" s="11">
        <v>153</v>
      </c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>
        <v>453</v>
      </c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>
        <v>153</v>
      </c>
      <c r="AQ151" s="11">
        <v>250</v>
      </c>
      <c r="AR151" s="11">
        <v>50</v>
      </c>
      <c r="AS151" s="11"/>
      <c r="AT151" s="20" t="str">
        <f>HYPERLINK("http://www.openstreetmap.org/?mlat=33.3839&amp;mlon=43.6042&amp;zoom=12#map=12/33.3839/43.6042","Maplink1")</f>
        <v>Maplink1</v>
      </c>
      <c r="AU151" s="20" t="str">
        <f>HYPERLINK("https://www.google.iq/maps/search/+33.3839,43.6042/@33.3839,43.6042,14z?hl=en","Maplink2")</f>
        <v>Maplink2</v>
      </c>
      <c r="AV151" s="20" t="str">
        <f>HYPERLINK("http://www.bing.com/maps/?lvl=14&amp;sty=h&amp;cp=33.3839~43.6042&amp;sp=point.33.3839_43.6042","Maplink3")</f>
        <v>Maplink3</v>
      </c>
    </row>
    <row r="152" spans="1:48" x14ac:dyDescent="0.25">
      <c r="A152" s="9">
        <v>29494</v>
      </c>
      <c r="B152" s="10" t="s">
        <v>10</v>
      </c>
      <c r="C152" s="10" t="s">
        <v>374</v>
      </c>
      <c r="D152" s="10" t="s">
        <v>375</v>
      </c>
      <c r="E152" s="10" t="s">
        <v>376</v>
      </c>
      <c r="F152" s="10">
        <v>33.426241383799997</v>
      </c>
      <c r="G152" s="10">
        <v>44.061354033500002</v>
      </c>
      <c r="H152" s="11">
        <v>28</v>
      </c>
      <c r="I152" s="11">
        <v>168</v>
      </c>
      <c r="J152" s="11"/>
      <c r="K152" s="11"/>
      <c r="L152" s="11">
        <v>28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>
        <v>28</v>
      </c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>
        <v>28</v>
      </c>
      <c r="AP152" s="11"/>
      <c r="AQ152" s="11"/>
      <c r="AR152" s="11"/>
      <c r="AS152" s="11"/>
      <c r="AT152" s="20" t="str">
        <f>HYPERLINK("http://www.openstreetmap.org/?mlat=33.4262&amp;mlon=44.0614&amp;zoom=12#map=12/33.4262/44.0614","Maplink1")</f>
        <v>Maplink1</v>
      </c>
      <c r="AU152" s="20" t="str">
        <f>HYPERLINK("https://www.google.iq/maps/search/+33.4262,44.0614/@33.4262,44.0614,14z?hl=en","Maplink2")</f>
        <v>Maplink2</v>
      </c>
      <c r="AV152" s="20" t="str">
        <f>HYPERLINK("http://www.bing.com/maps/?lvl=14&amp;sty=h&amp;cp=33.4262~44.0614&amp;sp=point.33.4262_44.0614","Maplink3")</f>
        <v>Maplink3</v>
      </c>
    </row>
    <row r="153" spans="1:48" x14ac:dyDescent="0.25">
      <c r="A153" s="9">
        <v>29497</v>
      </c>
      <c r="B153" s="10" t="s">
        <v>10</v>
      </c>
      <c r="C153" s="10" t="s">
        <v>374</v>
      </c>
      <c r="D153" s="10" t="s">
        <v>377</v>
      </c>
      <c r="E153" s="10" t="s">
        <v>378</v>
      </c>
      <c r="F153" s="10">
        <v>33.389071790000003</v>
      </c>
      <c r="G153" s="10">
        <v>44.125756599900001</v>
      </c>
      <c r="H153" s="11">
        <v>39</v>
      </c>
      <c r="I153" s="11">
        <v>234</v>
      </c>
      <c r="J153" s="11"/>
      <c r="K153" s="11"/>
      <c r="L153" s="11">
        <v>39</v>
      </c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>
        <v>39</v>
      </c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>
        <v>39</v>
      </c>
      <c r="AQ153" s="11"/>
      <c r="AR153" s="11"/>
      <c r="AS153" s="11"/>
      <c r="AT153" s="20" t="str">
        <f>HYPERLINK("http://www.openstreetmap.org/?mlat=33.3891&amp;mlon=44.1258&amp;zoom=12#map=12/33.3891/44.1258","Maplink1")</f>
        <v>Maplink1</v>
      </c>
      <c r="AU153" s="20" t="str">
        <f>HYPERLINK("https://www.google.iq/maps/search/+33.3891,44.1258/@33.3891,44.1258,14z?hl=en","Maplink2")</f>
        <v>Maplink2</v>
      </c>
      <c r="AV153" s="20" t="str">
        <f>HYPERLINK("http://www.bing.com/maps/?lvl=14&amp;sty=h&amp;cp=33.3891~44.1258&amp;sp=point.33.3891_44.1258","Maplink3")</f>
        <v>Maplink3</v>
      </c>
    </row>
    <row r="154" spans="1:48" x14ac:dyDescent="0.25">
      <c r="A154" s="9">
        <v>29531</v>
      </c>
      <c r="B154" s="10" t="s">
        <v>10</v>
      </c>
      <c r="C154" s="10" t="s">
        <v>374</v>
      </c>
      <c r="D154" s="10" t="s">
        <v>379</v>
      </c>
      <c r="E154" s="10" t="s">
        <v>380</v>
      </c>
      <c r="F154" s="10">
        <v>33.2170995197</v>
      </c>
      <c r="G154" s="10">
        <v>43.9468792523</v>
      </c>
      <c r="H154" s="11">
        <v>76</v>
      </c>
      <c r="I154" s="11">
        <v>456</v>
      </c>
      <c r="J154" s="11"/>
      <c r="K154" s="11"/>
      <c r="L154" s="11">
        <v>76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>
        <v>76</v>
      </c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>
        <v>33</v>
      </c>
      <c r="AP154" s="11">
        <v>43</v>
      </c>
      <c r="AQ154" s="11"/>
      <c r="AR154" s="11"/>
      <c r="AS154" s="11"/>
      <c r="AT154" s="20" t="str">
        <f>HYPERLINK("http://www.openstreetmap.org/?mlat=33.2171&amp;mlon=43.9469&amp;zoom=12#map=12/33.2171/43.9469","Maplink1")</f>
        <v>Maplink1</v>
      </c>
      <c r="AU154" s="20" t="str">
        <f>HYPERLINK("https://www.google.iq/maps/search/+33.2171,43.9469/@33.2171,43.9469,14z?hl=en","Maplink2")</f>
        <v>Maplink2</v>
      </c>
      <c r="AV154" s="20" t="str">
        <f>HYPERLINK("http://www.bing.com/maps/?lvl=14&amp;sty=h&amp;cp=33.2171~43.9469&amp;sp=point.33.2171_43.9469","Maplink3")</f>
        <v>Maplink3</v>
      </c>
    </row>
    <row r="155" spans="1:48" x14ac:dyDescent="0.25">
      <c r="A155" s="9">
        <v>31719</v>
      </c>
      <c r="B155" s="10" t="s">
        <v>10</v>
      </c>
      <c r="C155" s="10" t="s">
        <v>374</v>
      </c>
      <c r="D155" s="10" t="s">
        <v>381</v>
      </c>
      <c r="E155" s="10" t="s">
        <v>382</v>
      </c>
      <c r="F155" s="10">
        <v>33.394005999999997</v>
      </c>
      <c r="G155" s="10">
        <v>44.038893999999999</v>
      </c>
      <c r="H155" s="11">
        <v>200</v>
      </c>
      <c r="I155" s="11">
        <v>1200</v>
      </c>
      <c r="J155" s="11"/>
      <c r="K155" s="11"/>
      <c r="L155" s="11">
        <v>200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>
        <v>200</v>
      </c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>
        <v>200</v>
      </c>
      <c r="AQ155" s="11"/>
      <c r="AR155" s="11"/>
      <c r="AS155" s="11"/>
      <c r="AT155" s="20" t="str">
        <f>HYPERLINK("http://www.openstreetmap.org/?mlat=33.394&amp;mlon=44.0389&amp;zoom=12#map=12/33.394/44.0389","Maplink1")</f>
        <v>Maplink1</v>
      </c>
      <c r="AU155" s="20" t="str">
        <f>HYPERLINK("https://www.google.iq/maps/search/+33.394,44.0389/@33.394,44.0389,14z?hl=en","Maplink2")</f>
        <v>Maplink2</v>
      </c>
      <c r="AV155" s="20" t="str">
        <f>HYPERLINK("http://www.bing.com/maps/?lvl=14&amp;sty=h&amp;cp=33.394~44.0389&amp;sp=point.33.394_44.0389","Maplink3")</f>
        <v>Maplink3</v>
      </c>
    </row>
    <row r="156" spans="1:48" x14ac:dyDescent="0.25">
      <c r="A156" s="9">
        <v>29498</v>
      </c>
      <c r="B156" s="10" t="s">
        <v>10</v>
      </c>
      <c r="C156" s="10" t="s">
        <v>374</v>
      </c>
      <c r="D156" s="10" t="s">
        <v>383</v>
      </c>
      <c r="E156" s="10" t="s">
        <v>384</v>
      </c>
      <c r="F156" s="10">
        <v>33.408180451100002</v>
      </c>
      <c r="G156" s="10">
        <v>44.083914113200002</v>
      </c>
      <c r="H156" s="11">
        <v>25</v>
      </c>
      <c r="I156" s="11">
        <v>150</v>
      </c>
      <c r="J156" s="11"/>
      <c r="K156" s="11"/>
      <c r="L156" s="11">
        <v>25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>
        <v>25</v>
      </c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>
        <v>25</v>
      </c>
      <c r="AQ156" s="11"/>
      <c r="AR156" s="11"/>
      <c r="AS156" s="11"/>
      <c r="AT156" s="20" t="str">
        <f>HYPERLINK("http://www.openstreetmap.org/?mlat=33.4082&amp;mlon=44.0839&amp;zoom=12#map=12/33.4082/44.0839","Maplink1")</f>
        <v>Maplink1</v>
      </c>
      <c r="AU156" s="20" t="str">
        <f>HYPERLINK("https://www.google.iq/maps/search/+33.4082,44.0839/@33.4082,44.0839,14z?hl=en","Maplink2")</f>
        <v>Maplink2</v>
      </c>
      <c r="AV156" s="20" t="str">
        <f>HYPERLINK("http://www.bing.com/maps/?lvl=14&amp;sty=h&amp;cp=33.4082~44.0839&amp;sp=point.33.4082_44.0839","Maplink3")</f>
        <v>Maplink3</v>
      </c>
    </row>
    <row r="157" spans="1:48" x14ac:dyDescent="0.25">
      <c r="A157" s="9">
        <v>29495</v>
      </c>
      <c r="B157" s="10" t="s">
        <v>10</v>
      </c>
      <c r="C157" s="10" t="s">
        <v>374</v>
      </c>
      <c r="D157" s="10" t="s">
        <v>385</v>
      </c>
      <c r="E157" s="10" t="s">
        <v>386</v>
      </c>
      <c r="F157" s="10">
        <v>33.413400000000003</v>
      </c>
      <c r="G157" s="10">
        <v>44.060600000000001</v>
      </c>
      <c r="H157" s="11">
        <v>37</v>
      </c>
      <c r="I157" s="11">
        <v>222</v>
      </c>
      <c r="J157" s="11"/>
      <c r="K157" s="11"/>
      <c r="L157" s="11">
        <v>37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>
        <v>37</v>
      </c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>
        <v>37</v>
      </c>
      <c r="AP157" s="11"/>
      <c r="AQ157" s="11"/>
      <c r="AR157" s="11"/>
      <c r="AS157" s="11"/>
      <c r="AT157" s="20" t="str">
        <f>HYPERLINK("http://www.openstreetmap.org/?mlat=33.4134&amp;mlon=44.0606&amp;zoom=12#map=12/33.4134/44.0606","Maplink1")</f>
        <v>Maplink1</v>
      </c>
      <c r="AU157" s="20" t="str">
        <f>HYPERLINK("https://www.google.iq/maps/search/+33.4134,44.0606/@33.4134,44.0606,14z?hl=en","Maplink2")</f>
        <v>Maplink2</v>
      </c>
      <c r="AV157" s="20" t="str">
        <f>HYPERLINK("http://www.bing.com/maps/?lvl=14&amp;sty=h&amp;cp=33.4134~44.0606&amp;sp=point.33.4134_44.0606","Maplink3")</f>
        <v>Maplink3</v>
      </c>
    </row>
    <row r="158" spans="1:48" x14ac:dyDescent="0.25">
      <c r="A158" s="9">
        <v>29529</v>
      </c>
      <c r="B158" s="10" t="s">
        <v>10</v>
      </c>
      <c r="C158" s="10" t="s">
        <v>374</v>
      </c>
      <c r="D158" s="10" t="s">
        <v>387</v>
      </c>
      <c r="E158" s="10" t="s">
        <v>388</v>
      </c>
      <c r="F158" s="10">
        <v>33.220599444999998</v>
      </c>
      <c r="G158" s="10">
        <v>43.924572418399997</v>
      </c>
      <c r="H158" s="11">
        <v>400</v>
      </c>
      <c r="I158" s="11">
        <v>2400</v>
      </c>
      <c r="J158" s="11"/>
      <c r="K158" s="11"/>
      <c r="L158" s="11">
        <v>400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>
        <v>400</v>
      </c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>
        <v>400</v>
      </c>
      <c r="AQ158" s="11"/>
      <c r="AR158" s="11"/>
      <c r="AS158" s="11"/>
      <c r="AT158" s="20" t="str">
        <f>HYPERLINK("http://www.openstreetmap.org/?mlat=33.2206&amp;mlon=43.9246&amp;zoom=12#map=12/33.2206/43.9246","Maplink1")</f>
        <v>Maplink1</v>
      </c>
      <c r="AU158" s="20" t="str">
        <f>HYPERLINK("https://www.google.iq/maps/search/+33.2206,43.9246/@33.2206,43.9246,14z?hl=en","Maplink2")</f>
        <v>Maplink2</v>
      </c>
      <c r="AV158" s="20" t="str">
        <f>HYPERLINK("http://www.bing.com/maps/?lvl=14&amp;sty=h&amp;cp=33.2206~43.9246&amp;sp=point.33.2206_43.9246","Maplink3")</f>
        <v>Maplink3</v>
      </c>
    </row>
    <row r="159" spans="1:48" x14ac:dyDescent="0.25">
      <c r="A159" s="9">
        <v>29532</v>
      </c>
      <c r="B159" s="10" t="s">
        <v>10</v>
      </c>
      <c r="C159" s="10" t="s">
        <v>374</v>
      </c>
      <c r="D159" s="10" t="s">
        <v>389</v>
      </c>
      <c r="E159" s="10" t="s">
        <v>390</v>
      </c>
      <c r="F159" s="10">
        <v>33.218278196699998</v>
      </c>
      <c r="G159" s="10">
        <v>43.953737083900002</v>
      </c>
      <c r="H159" s="11">
        <v>109</v>
      </c>
      <c r="I159" s="11">
        <v>654</v>
      </c>
      <c r="J159" s="11"/>
      <c r="K159" s="11"/>
      <c r="L159" s="11">
        <v>109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>
        <v>109</v>
      </c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>
        <v>109</v>
      </c>
      <c r="AP159" s="11"/>
      <c r="AQ159" s="11"/>
      <c r="AR159" s="11"/>
      <c r="AS159" s="11"/>
      <c r="AT159" s="20" t="str">
        <f>HYPERLINK("http://www.openstreetmap.org/?mlat=33.2183&amp;mlon=43.9537&amp;zoom=12#map=12/33.2183/43.9537","Maplink1")</f>
        <v>Maplink1</v>
      </c>
      <c r="AU159" s="20" t="str">
        <f>HYPERLINK("https://www.google.iq/maps/search/+33.2183,43.9537/@33.2183,43.9537,14z?hl=en","Maplink2")</f>
        <v>Maplink2</v>
      </c>
      <c r="AV159" s="20" t="str">
        <f>HYPERLINK("http://www.bing.com/maps/?lvl=14&amp;sty=h&amp;cp=33.2183~43.9537&amp;sp=point.33.2183_43.9537","Maplink3")</f>
        <v>Maplink3</v>
      </c>
    </row>
    <row r="160" spans="1:48" x14ac:dyDescent="0.25">
      <c r="A160" s="9">
        <v>29533</v>
      </c>
      <c r="B160" s="10" t="s">
        <v>10</v>
      </c>
      <c r="C160" s="10" t="s">
        <v>374</v>
      </c>
      <c r="D160" s="10" t="s">
        <v>391</v>
      </c>
      <c r="E160" s="10" t="s">
        <v>392</v>
      </c>
      <c r="F160" s="10">
        <v>33.207748354099998</v>
      </c>
      <c r="G160" s="10">
        <v>43.971787759100003</v>
      </c>
      <c r="H160" s="11">
        <v>320</v>
      </c>
      <c r="I160" s="11">
        <v>1920</v>
      </c>
      <c r="J160" s="11"/>
      <c r="K160" s="11"/>
      <c r="L160" s="11">
        <v>270</v>
      </c>
      <c r="M160" s="11"/>
      <c r="N160" s="11"/>
      <c r="O160" s="11"/>
      <c r="P160" s="11">
        <v>50</v>
      </c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>
        <v>320</v>
      </c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>
        <v>271</v>
      </c>
      <c r="AP160" s="11">
        <v>49</v>
      </c>
      <c r="AQ160" s="11"/>
      <c r="AR160" s="11"/>
      <c r="AS160" s="11"/>
      <c r="AT160" s="20" t="str">
        <f>HYPERLINK("http://www.openstreetmap.org/?mlat=33.2077&amp;mlon=43.9718&amp;zoom=12#map=12/33.2077/43.9718","Maplink1")</f>
        <v>Maplink1</v>
      </c>
      <c r="AU160" s="20" t="str">
        <f>HYPERLINK("https://www.google.iq/maps/search/+33.2077,43.9718/@33.2077,43.9718,14z?hl=en","Maplink2")</f>
        <v>Maplink2</v>
      </c>
      <c r="AV160" s="20" t="str">
        <f>HYPERLINK("http://www.bing.com/maps/?lvl=14&amp;sty=h&amp;cp=33.2077~43.9718&amp;sp=point.33.2077_43.9718","Maplink3")</f>
        <v>Maplink3</v>
      </c>
    </row>
    <row r="161" spans="1:48" x14ac:dyDescent="0.25">
      <c r="A161" s="9">
        <v>29496</v>
      </c>
      <c r="B161" s="10" t="s">
        <v>10</v>
      </c>
      <c r="C161" s="10" t="s">
        <v>374</v>
      </c>
      <c r="D161" s="10" t="s">
        <v>393</v>
      </c>
      <c r="E161" s="10" t="s">
        <v>394</v>
      </c>
      <c r="F161" s="10">
        <v>33.387210281500003</v>
      </c>
      <c r="G161" s="10">
        <v>44.108202805200001</v>
      </c>
      <c r="H161" s="11">
        <v>37</v>
      </c>
      <c r="I161" s="11">
        <v>222</v>
      </c>
      <c r="J161" s="11"/>
      <c r="K161" s="11"/>
      <c r="L161" s="11">
        <v>37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>
        <v>37</v>
      </c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>
        <v>37</v>
      </c>
      <c r="AQ161" s="11"/>
      <c r="AR161" s="11"/>
      <c r="AS161" s="11"/>
      <c r="AT161" s="20" t="str">
        <f>HYPERLINK("http://www.openstreetmap.org/?mlat=33.3872&amp;mlon=44.1082&amp;zoom=12#map=12/33.3872/44.1082","Maplink1")</f>
        <v>Maplink1</v>
      </c>
      <c r="AU161" s="20" t="str">
        <f>HYPERLINK("https://www.google.iq/maps/search/+33.3872,44.1082/@33.3872,44.1082,14z?hl=en","Maplink2")</f>
        <v>Maplink2</v>
      </c>
      <c r="AV161" s="20" t="str">
        <f>HYPERLINK("http://www.bing.com/maps/?lvl=14&amp;sty=h&amp;cp=33.3872~44.1082&amp;sp=point.33.3872_44.1082","Maplink3")</f>
        <v>Maplink3</v>
      </c>
    </row>
    <row r="162" spans="1:48" x14ac:dyDescent="0.25">
      <c r="A162" s="9">
        <v>31710</v>
      </c>
      <c r="B162" s="10" t="s">
        <v>10</v>
      </c>
      <c r="C162" s="10" t="s">
        <v>374</v>
      </c>
      <c r="D162" s="10" t="s">
        <v>395</v>
      </c>
      <c r="E162" s="10" t="s">
        <v>396</v>
      </c>
      <c r="F162" s="10">
        <v>33.270892000000003</v>
      </c>
      <c r="G162" s="10">
        <v>44.048281000000003</v>
      </c>
      <c r="H162" s="11">
        <v>250</v>
      </c>
      <c r="I162" s="11">
        <v>1500</v>
      </c>
      <c r="J162" s="11"/>
      <c r="K162" s="11"/>
      <c r="L162" s="11">
        <v>250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>
        <v>143</v>
      </c>
      <c r="AD162" s="11">
        <v>107</v>
      </c>
      <c r="AE162" s="11"/>
      <c r="AF162" s="11"/>
      <c r="AG162" s="11"/>
      <c r="AH162" s="11"/>
      <c r="AI162" s="11"/>
      <c r="AJ162" s="11"/>
      <c r="AK162" s="11"/>
      <c r="AL162" s="11"/>
      <c r="AM162" s="11">
        <v>100</v>
      </c>
      <c r="AN162" s="11"/>
      <c r="AO162" s="11"/>
      <c r="AP162" s="11">
        <v>150</v>
      </c>
      <c r="AQ162" s="11"/>
      <c r="AR162" s="11"/>
      <c r="AS162" s="11"/>
      <c r="AT162" s="20" t="str">
        <f>HYPERLINK("http://www.openstreetmap.org/?mlat=33.2709&amp;mlon=44.0483&amp;zoom=12#map=12/33.2709/44.0483","Maplink1")</f>
        <v>Maplink1</v>
      </c>
      <c r="AU162" s="20" t="str">
        <f>HYPERLINK("https://www.google.iq/maps/search/+33.2709,44.0483/@33.2709,44.0483,14z?hl=en","Maplink2")</f>
        <v>Maplink2</v>
      </c>
      <c r="AV162" s="20" t="str">
        <f>HYPERLINK("http://www.bing.com/maps/?lvl=14&amp;sty=h&amp;cp=33.2709~44.0483&amp;sp=point.33.2709_44.0483","Maplink3")</f>
        <v>Maplink3</v>
      </c>
    </row>
    <row r="163" spans="1:48" x14ac:dyDescent="0.25">
      <c r="A163" s="9">
        <v>31876</v>
      </c>
      <c r="B163" s="10" t="s">
        <v>10</v>
      </c>
      <c r="C163" s="10" t="s">
        <v>374</v>
      </c>
      <c r="D163" s="10" t="s">
        <v>397</v>
      </c>
      <c r="E163" s="10" t="s">
        <v>398</v>
      </c>
      <c r="F163" s="10">
        <v>33.169435</v>
      </c>
      <c r="G163" s="10">
        <v>43.947384999999997</v>
      </c>
      <c r="H163" s="11">
        <v>160</v>
      </c>
      <c r="I163" s="11">
        <v>960</v>
      </c>
      <c r="J163" s="11"/>
      <c r="K163" s="11"/>
      <c r="L163" s="11">
        <v>160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>
        <v>139</v>
      </c>
      <c r="AD163" s="11">
        <v>21</v>
      </c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>
        <v>76</v>
      </c>
      <c r="AP163" s="11">
        <v>84</v>
      </c>
      <c r="AQ163" s="11"/>
      <c r="AR163" s="11"/>
      <c r="AS163" s="11"/>
      <c r="AT163" s="20" t="str">
        <f>HYPERLINK("http://www.openstreetmap.org/?mlat=33.1694&amp;mlon=43.9474&amp;zoom=12#map=12/33.1694/43.9474","Maplink1")</f>
        <v>Maplink1</v>
      </c>
      <c r="AU163" s="20" t="str">
        <f>HYPERLINK("https://www.google.iq/maps/search/+33.1694,43.9474/@33.1694,43.9474,14z?hl=en","Maplink2")</f>
        <v>Maplink2</v>
      </c>
      <c r="AV163" s="20" t="str">
        <f>HYPERLINK("http://www.bing.com/maps/?lvl=14&amp;sty=h&amp;cp=33.1694~43.9474&amp;sp=point.33.1694_43.9474","Maplink3")</f>
        <v>Maplink3</v>
      </c>
    </row>
    <row r="164" spans="1:48" x14ac:dyDescent="0.25">
      <c r="A164" s="9">
        <v>29499</v>
      </c>
      <c r="B164" s="10" t="s">
        <v>10</v>
      </c>
      <c r="C164" s="10" t="s">
        <v>374</v>
      </c>
      <c r="D164" s="10" t="s">
        <v>399</v>
      </c>
      <c r="E164" s="10" t="s">
        <v>400</v>
      </c>
      <c r="F164" s="10">
        <v>33.361199999999997</v>
      </c>
      <c r="G164" s="10">
        <v>43.993299999999998</v>
      </c>
      <c r="H164" s="11">
        <v>71</v>
      </c>
      <c r="I164" s="11">
        <v>426</v>
      </c>
      <c r="J164" s="11"/>
      <c r="K164" s="11"/>
      <c r="L164" s="11">
        <v>52</v>
      </c>
      <c r="M164" s="11"/>
      <c r="N164" s="11"/>
      <c r="O164" s="11"/>
      <c r="P164" s="11">
        <v>19</v>
      </c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>
        <v>71</v>
      </c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>
        <v>50</v>
      </c>
      <c r="AP164" s="11">
        <v>21</v>
      </c>
      <c r="AQ164" s="11"/>
      <c r="AR164" s="11"/>
      <c r="AS164" s="11"/>
      <c r="AT164" s="20" t="str">
        <f>HYPERLINK("http://www.openstreetmap.org/?mlat=33.3612&amp;mlon=43.9933&amp;zoom=12#map=12/33.3612/43.9933","Maplink1")</f>
        <v>Maplink1</v>
      </c>
      <c r="AU164" s="20" t="str">
        <f>HYPERLINK("https://www.google.iq/maps/search/+33.3612,43.9933/@33.3612,43.9933,14z?hl=en","Maplink2")</f>
        <v>Maplink2</v>
      </c>
      <c r="AV164" s="20" t="str">
        <f>HYPERLINK("http://www.bing.com/maps/?lvl=14&amp;sty=h&amp;cp=33.3612~43.9933&amp;sp=point.33.3612_43.9933","Maplink3")</f>
        <v>Maplink3</v>
      </c>
    </row>
    <row r="165" spans="1:48" x14ac:dyDescent="0.25">
      <c r="A165" s="9">
        <v>29530</v>
      </c>
      <c r="B165" s="10" t="s">
        <v>10</v>
      </c>
      <c r="C165" s="10" t="s">
        <v>374</v>
      </c>
      <c r="D165" s="10" t="s">
        <v>401</v>
      </c>
      <c r="E165" s="10" t="s">
        <v>402</v>
      </c>
      <c r="F165" s="10">
        <v>33.258200000000002</v>
      </c>
      <c r="G165" s="10">
        <v>43.8566</v>
      </c>
      <c r="H165" s="11">
        <v>132</v>
      </c>
      <c r="I165" s="11">
        <v>792</v>
      </c>
      <c r="J165" s="11"/>
      <c r="K165" s="11"/>
      <c r="L165" s="11">
        <v>132</v>
      </c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>
        <v>132</v>
      </c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>
        <v>42</v>
      </c>
      <c r="AP165" s="11">
        <v>90</v>
      </c>
      <c r="AQ165" s="11"/>
      <c r="AR165" s="11"/>
      <c r="AS165" s="11"/>
      <c r="AT165" s="20" t="str">
        <f>HYPERLINK("http://www.openstreetmap.org/?mlat=33.2582&amp;mlon=43.8566&amp;zoom=12#map=12/33.2582/43.8566","Maplink1")</f>
        <v>Maplink1</v>
      </c>
      <c r="AU165" s="20" t="str">
        <f>HYPERLINK("https://www.google.iq/maps/search/+33.2582,43.8566/@33.2582,43.8566,14z?hl=en","Maplink2")</f>
        <v>Maplink2</v>
      </c>
      <c r="AV165" s="20" t="str">
        <f>HYPERLINK("http://www.bing.com/maps/?lvl=14&amp;sty=h&amp;cp=33.2582~43.8566&amp;sp=point.33.2582_43.8566","Maplink3")</f>
        <v>Maplink3</v>
      </c>
    </row>
    <row r="166" spans="1:48" x14ac:dyDescent="0.25">
      <c r="A166" s="48">
        <v>25167</v>
      </c>
      <c r="B166" s="10" t="s">
        <v>10</v>
      </c>
      <c r="C166" s="10" t="s">
        <v>403</v>
      </c>
      <c r="D166" s="10" t="s">
        <v>404</v>
      </c>
      <c r="E166" s="10" t="s">
        <v>405</v>
      </c>
      <c r="F166" s="10">
        <v>33.452355616600002</v>
      </c>
      <c r="G166" s="10">
        <v>44.167196085400001</v>
      </c>
      <c r="H166" s="11">
        <v>130</v>
      </c>
      <c r="I166" s="11">
        <v>780</v>
      </c>
      <c r="J166" s="11"/>
      <c r="K166" s="11"/>
      <c r="L166" s="11">
        <v>130</v>
      </c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>
        <v>130</v>
      </c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>
        <v>130</v>
      </c>
      <c r="AQ166" s="11"/>
      <c r="AR166" s="11"/>
      <c r="AS166" s="11"/>
      <c r="AT166" s="20" t="str">
        <f>HYPERLINK("http://www.openstreetmap.org/?mlat=33.4524&amp;mlon=44.1672&amp;zoom=12#map=12/33.4524/44.1672","Maplink1")</f>
        <v>Maplink1</v>
      </c>
      <c r="AU166" s="20" t="str">
        <f>HYPERLINK("https://www.google.iq/maps/search/+33.4524,44.1672/@33.4524,44.1672,14z?hl=en","Maplink2")</f>
        <v>Maplink2</v>
      </c>
      <c r="AV166" s="20" t="str">
        <f>HYPERLINK("http://www.bing.com/maps/?lvl=14&amp;sty=h&amp;cp=33.4524~44.1672&amp;sp=point.33.4524_44.1672","Maplink3")</f>
        <v>Maplink3</v>
      </c>
    </row>
    <row r="167" spans="1:48" x14ac:dyDescent="0.25">
      <c r="A167" s="9">
        <v>22541</v>
      </c>
      <c r="B167" s="10" t="s">
        <v>10</v>
      </c>
      <c r="C167" s="10" t="s">
        <v>403</v>
      </c>
      <c r="D167" s="10" t="s">
        <v>406</v>
      </c>
      <c r="E167" s="10" t="s">
        <v>407</v>
      </c>
      <c r="F167" s="10">
        <v>33.4589029272</v>
      </c>
      <c r="G167" s="10">
        <v>44.1707840965</v>
      </c>
      <c r="H167" s="11">
        <v>180</v>
      </c>
      <c r="I167" s="11">
        <v>1080</v>
      </c>
      <c r="J167" s="11"/>
      <c r="K167" s="11">
        <v>22</v>
      </c>
      <c r="L167" s="11">
        <v>158</v>
      </c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>
        <v>180</v>
      </c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>
        <v>180</v>
      </c>
      <c r="AQ167" s="11"/>
      <c r="AR167" s="11"/>
      <c r="AS167" s="11"/>
      <c r="AT167" s="20" t="str">
        <f>HYPERLINK("http://www.openstreetmap.org/?mlat=33.4589&amp;mlon=44.1708&amp;zoom=12#map=12/33.4589/44.1708","Maplink1")</f>
        <v>Maplink1</v>
      </c>
      <c r="AU167" s="20" t="str">
        <f>HYPERLINK("https://www.google.iq/maps/search/+33.4589,44.1708/@33.4589,44.1708,14z?hl=en","Maplink2")</f>
        <v>Maplink2</v>
      </c>
      <c r="AV167" s="20" t="str">
        <f>HYPERLINK("http://www.bing.com/maps/?lvl=14&amp;sty=h&amp;cp=33.4589~44.1708&amp;sp=point.33.4589_44.1708","Maplink3")</f>
        <v>Maplink3</v>
      </c>
    </row>
    <row r="168" spans="1:48" x14ac:dyDescent="0.25">
      <c r="A168" s="9">
        <v>22611</v>
      </c>
      <c r="B168" s="10" t="s">
        <v>10</v>
      </c>
      <c r="C168" s="10" t="s">
        <v>403</v>
      </c>
      <c r="D168" s="10" t="s">
        <v>408</v>
      </c>
      <c r="E168" s="10" t="s">
        <v>409</v>
      </c>
      <c r="F168" s="10">
        <v>33.468362139299998</v>
      </c>
      <c r="G168" s="10">
        <v>44.169403811400002</v>
      </c>
      <c r="H168" s="11">
        <v>76</v>
      </c>
      <c r="I168" s="11">
        <v>456</v>
      </c>
      <c r="J168" s="11"/>
      <c r="K168" s="11"/>
      <c r="L168" s="11">
        <v>76</v>
      </c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>
        <v>76</v>
      </c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>
        <v>76</v>
      </c>
      <c r="AQ168" s="11"/>
      <c r="AR168" s="11"/>
      <c r="AS168" s="11"/>
      <c r="AT168" s="20" t="str">
        <f>HYPERLINK("http://www.openstreetmap.org/?mlat=33.4684&amp;mlon=44.1694&amp;zoom=12#map=12/33.4684/44.1694","Maplink1")</f>
        <v>Maplink1</v>
      </c>
      <c r="AU168" s="20" t="str">
        <f>HYPERLINK("https://www.google.iq/maps/search/+33.4684,44.1694/@33.4684,44.1694,14z?hl=en","Maplink2")</f>
        <v>Maplink2</v>
      </c>
      <c r="AV168" s="20" t="str">
        <f>HYPERLINK("http://www.bing.com/maps/?lvl=14&amp;sty=h&amp;cp=33.4684~44.1694&amp;sp=point.33.4684_44.1694","Maplink3")</f>
        <v>Maplink3</v>
      </c>
    </row>
    <row r="169" spans="1:48" x14ac:dyDescent="0.25">
      <c r="A169" s="9">
        <v>25168</v>
      </c>
      <c r="B169" s="10" t="s">
        <v>10</v>
      </c>
      <c r="C169" s="10" t="s">
        <v>403</v>
      </c>
      <c r="D169" s="10" t="s">
        <v>410</v>
      </c>
      <c r="E169" s="10" t="s">
        <v>411</v>
      </c>
      <c r="F169" s="10">
        <v>33.470859812199997</v>
      </c>
      <c r="G169" s="10">
        <v>44.165869557299999</v>
      </c>
      <c r="H169" s="11">
        <v>311</v>
      </c>
      <c r="I169" s="11">
        <v>1866</v>
      </c>
      <c r="J169" s="11"/>
      <c r="K169" s="11"/>
      <c r="L169" s="11">
        <v>311</v>
      </c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>
        <v>311</v>
      </c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>
        <v>311</v>
      </c>
      <c r="AP169" s="11"/>
      <c r="AQ169" s="11"/>
      <c r="AR169" s="11"/>
      <c r="AS169" s="11"/>
      <c r="AT169" s="20" t="str">
        <f>HYPERLINK("http://www.openstreetmap.org/?mlat=33.4709&amp;mlon=44.1659&amp;zoom=12#map=12/33.4709/44.1659","Maplink1")</f>
        <v>Maplink1</v>
      </c>
      <c r="AU169" s="20" t="str">
        <f>HYPERLINK("https://www.google.iq/maps/search/+33.4709,44.1659/@33.4709,44.1659,14z?hl=en","Maplink2")</f>
        <v>Maplink2</v>
      </c>
      <c r="AV169" s="20" t="str">
        <f>HYPERLINK("http://www.bing.com/maps/?lvl=14&amp;sty=h&amp;cp=33.4709~44.1659&amp;sp=point.33.4709_44.1659","Maplink3")</f>
        <v>Maplink3</v>
      </c>
    </row>
    <row r="170" spans="1:48" x14ac:dyDescent="0.25">
      <c r="A170" s="9">
        <v>25160</v>
      </c>
      <c r="B170" s="10" t="s">
        <v>10</v>
      </c>
      <c r="C170" s="10" t="s">
        <v>403</v>
      </c>
      <c r="D170" s="10" t="s">
        <v>412</v>
      </c>
      <c r="E170" s="10" t="s">
        <v>413</v>
      </c>
      <c r="F170" s="10">
        <v>33.491100000000003</v>
      </c>
      <c r="G170" s="10">
        <v>44.201700000000002</v>
      </c>
      <c r="H170" s="11">
        <v>50</v>
      </c>
      <c r="I170" s="11">
        <v>300</v>
      </c>
      <c r="J170" s="11"/>
      <c r="K170" s="11"/>
      <c r="L170" s="11">
        <v>50</v>
      </c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>
        <v>50</v>
      </c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>
        <v>50</v>
      </c>
      <c r="AP170" s="11"/>
      <c r="AQ170" s="11"/>
      <c r="AR170" s="11"/>
      <c r="AS170" s="11"/>
      <c r="AT170" s="20" t="str">
        <f>HYPERLINK("http://www.openstreetmap.org/?mlat=33.4911&amp;mlon=44.2017&amp;zoom=12#map=12/33.4911/44.2017","Maplink1")</f>
        <v>Maplink1</v>
      </c>
      <c r="AU170" s="20" t="str">
        <f>HYPERLINK("https://www.google.iq/maps/search/+33.4911,44.2017/@33.4911,44.2017,14z?hl=en","Maplink2")</f>
        <v>Maplink2</v>
      </c>
      <c r="AV170" s="20" t="str">
        <f>HYPERLINK("http://www.bing.com/maps/?lvl=14&amp;sty=h&amp;cp=33.4911~44.2017&amp;sp=point.33.4911_44.2017","Maplink3")</f>
        <v>Maplink3</v>
      </c>
    </row>
    <row r="171" spans="1:48" x14ac:dyDescent="0.25">
      <c r="A171" s="9">
        <v>25161</v>
      </c>
      <c r="B171" s="10" t="s">
        <v>10</v>
      </c>
      <c r="C171" s="10" t="s">
        <v>403</v>
      </c>
      <c r="D171" s="10" t="s">
        <v>414</v>
      </c>
      <c r="E171" s="10" t="s">
        <v>415</v>
      </c>
      <c r="F171" s="10">
        <v>33.461047749999999</v>
      </c>
      <c r="G171" s="10">
        <v>44.143778349999998</v>
      </c>
      <c r="H171" s="11">
        <v>20</v>
      </c>
      <c r="I171" s="11">
        <v>120</v>
      </c>
      <c r="J171" s="11"/>
      <c r="K171" s="11"/>
      <c r="L171" s="11">
        <v>20</v>
      </c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>
        <v>20</v>
      </c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>
        <v>20</v>
      </c>
      <c r="AQ171" s="11"/>
      <c r="AR171" s="11"/>
      <c r="AS171" s="11"/>
      <c r="AT171" s="20" t="str">
        <f>HYPERLINK("http://www.openstreetmap.org/?mlat=33.461&amp;mlon=44.1438&amp;zoom=12#map=12/33.461/44.1438","Maplink1")</f>
        <v>Maplink1</v>
      </c>
      <c r="AU171" s="20" t="str">
        <f>HYPERLINK("https://www.google.iq/maps/search/+33.461,44.1438/@33.461,44.1438,14z?hl=en","Maplink2")</f>
        <v>Maplink2</v>
      </c>
      <c r="AV171" s="20" t="str">
        <f>HYPERLINK("http://www.bing.com/maps/?lvl=14&amp;sty=h&amp;cp=33.461~44.1438&amp;sp=point.33.461_44.1438","Maplink3")</f>
        <v>Maplink3</v>
      </c>
    </row>
    <row r="172" spans="1:48" x14ac:dyDescent="0.25">
      <c r="A172" s="9">
        <v>23329</v>
      </c>
      <c r="B172" s="10" t="s">
        <v>10</v>
      </c>
      <c r="C172" s="10" t="s">
        <v>403</v>
      </c>
      <c r="D172" s="10" t="s">
        <v>416</v>
      </c>
      <c r="E172" s="10" t="s">
        <v>417</v>
      </c>
      <c r="F172" s="10">
        <v>33.470880999999999</v>
      </c>
      <c r="G172" s="10">
        <v>44.147109</v>
      </c>
      <c r="H172" s="11">
        <v>56</v>
      </c>
      <c r="I172" s="11">
        <v>336</v>
      </c>
      <c r="J172" s="11"/>
      <c r="K172" s="11"/>
      <c r="L172" s="11">
        <v>56</v>
      </c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>
        <v>56</v>
      </c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>
        <v>56</v>
      </c>
      <c r="AQ172" s="11"/>
      <c r="AR172" s="11"/>
      <c r="AS172" s="11"/>
      <c r="AT172" s="20" t="str">
        <f>HYPERLINK("http://www.openstreetmap.org/?mlat=33.4709&amp;mlon=44.1471&amp;zoom=12#map=12/33.4709/44.1471","Maplink1")</f>
        <v>Maplink1</v>
      </c>
      <c r="AU172" s="20" t="str">
        <f>HYPERLINK("https://www.google.iq/maps/search/+33.4709,44.1471/@33.4709,44.1471,14z?hl=en","Maplink2")</f>
        <v>Maplink2</v>
      </c>
      <c r="AV172" s="20" t="str">
        <f>HYPERLINK("http://www.bing.com/maps/?lvl=14&amp;sty=h&amp;cp=33.4709~44.1471&amp;sp=point.33.4709_44.1471","Maplink3")</f>
        <v>Maplink3</v>
      </c>
    </row>
    <row r="173" spans="1:48" x14ac:dyDescent="0.25">
      <c r="A173" s="9">
        <v>25163</v>
      </c>
      <c r="B173" s="10" t="s">
        <v>10</v>
      </c>
      <c r="C173" s="10" t="s">
        <v>403</v>
      </c>
      <c r="D173" s="10" t="s">
        <v>418</v>
      </c>
      <c r="E173" s="10" t="s">
        <v>419</v>
      </c>
      <c r="F173" s="10">
        <v>33.450786260000001</v>
      </c>
      <c r="G173" s="10">
        <v>44.150446760000001</v>
      </c>
      <c r="H173" s="11">
        <v>175</v>
      </c>
      <c r="I173" s="11">
        <v>1050</v>
      </c>
      <c r="J173" s="11"/>
      <c r="K173" s="11">
        <v>12</v>
      </c>
      <c r="L173" s="11">
        <v>155</v>
      </c>
      <c r="M173" s="11"/>
      <c r="N173" s="11"/>
      <c r="O173" s="11"/>
      <c r="P173" s="11"/>
      <c r="Q173" s="11">
        <v>8</v>
      </c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>
        <v>175</v>
      </c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>
        <v>175</v>
      </c>
      <c r="AP173" s="11"/>
      <c r="AQ173" s="11"/>
      <c r="AR173" s="11"/>
      <c r="AS173" s="11"/>
      <c r="AT173" s="20" t="str">
        <f>HYPERLINK("http://www.openstreetmap.org/?mlat=33.4508&amp;mlon=44.1504&amp;zoom=12#map=12/33.4508/44.1504","Maplink1")</f>
        <v>Maplink1</v>
      </c>
      <c r="AU173" s="20" t="str">
        <f>HYPERLINK("https://www.google.iq/maps/search/+33.4508,44.1504/@33.4508,44.1504,14z?hl=en","Maplink2")</f>
        <v>Maplink2</v>
      </c>
      <c r="AV173" s="20" t="str">
        <f>HYPERLINK("http://www.bing.com/maps/?lvl=14&amp;sty=h&amp;cp=33.4508~44.1504&amp;sp=point.33.4508_44.1504","Maplink3")</f>
        <v>Maplink3</v>
      </c>
    </row>
    <row r="174" spans="1:48" x14ac:dyDescent="0.25">
      <c r="A174" s="9">
        <v>25164</v>
      </c>
      <c r="B174" s="10" t="s">
        <v>10</v>
      </c>
      <c r="C174" s="10" t="s">
        <v>403</v>
      </c>
      <c r="D174" s="10" t="s">
        <v>420</v>
      </c>
      <c r="E174" s="10" t="s">
        <v>421</v>
      </c>
      <c r="F174" s="10">
        <v>33.456556646000003</v>
      </c>
      <c r="G174" s="10">
        <v>44.157171557300003</v>
      </c>
      <c r="H174" s="11">
        <v>238</v>
      </c>
      <c r="I174" s="11">
        <v>1428</v>
      </c>
      <c r="J174" s="11"/>
      <c r="K174" s="11"/>
      <c r="L174" s="11">
        <v>238</v>
      </c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>
        <v>238</v>
      </c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>
        <v>238</v>
      </c>
      <c r="AP174" s="11"/>
      <c r="AQ174" s="11"/>
      <c r="AR174" s="11"/>
      <c r="AS174" s="11"/>
      <c r="AT174" s="20" t="str">
        <f>HYPERLINK("http://www.openstreetmap.org/?mlat=33.4566&amp;mlon=44.1572&amp;zoom=12#map=12/33.4566/44.1572","Maplink1")</f>
        <v>Maplink1</v>
      </c>
      <c r="AU174" s="20" t="str">
        <f>HYPERLINK("https://www.google.iq/maps/search/+33.4566,44.1572/@33.4566,44.1572,14z?hl=en","Maplink2")</f>
        <v>Maplink2</v>
      </c>
      <c r="AV174" s="20" t="str">
        <f>HYPERLINK("http://www.bing.com/maps/?lvl=14&amp;sty=h&amp;cp=33.4566~44.1572&amp;sp=point.33.4566_44.1572","Maplink3")</f>
        <v>Maplink3</v>
      </c>
    </row>
    <row r="175" spans="1:48" x14ac:dyDescent="0.25">
      <c r="A175" s="9">
        <v>25165</v>
      </c>
      <c r="B175" s="10" t="s">
        <v>10</v>
      </c>
      <c r="C175" s="10" t="s">
        <v>403</v>
      </c>
      <c r="D175" s="10" t="s">
        <v>422</v>
      </c>
      <c r="E175" s="10" t="s">
        <v>423</v>
      </c>
      <c r="F175" s="10">
        <v>33.455334453299997</v>
      </c>
      <c r="G175" s="10">
        <v>44.156637023499997</v>
      </c>
      <c r="H175" s="11">
        <v>58</v>
      </c>
      <c r="I175" s="11">
        <v>348</v>
      </c>
      <c r="J175" s="11"/>
      <c r="K175" s="11"/>
      <c r="L175" s="11">
        <v>58</v>
      </c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>
        <v>58</v>
      </c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>
        <v>58</v>
      </c>
      <c r="AQ175" s="11"/>
      <c r="AR175" s="11"/>
      <c r="AS175" s="11"/>
      <c r="AT175" s="20" t="str">
        <f>HYPERLINK("http://www.openstreetmap.org/?mlat=33.4553&amp;mlon=44.1566&amp;zoom=12#map=12/33.4553/44.1566","Maplink1")</f>
        <v>Maplink1</v>
      </c>
      <c r="AU175" s="20" t="str">
        <f>HYPERLINK("https://www.google.iq/maps/search/+33.4553,44.1566/@33.4553,44.1566,14z?hl=en","Maplink2")</f>
        <v>Maplink2</v>
      </c>
      <c r="AV175" s="20" t="str">
        <f>HYPERLINK("http://www.bing.com/maps/?lvl=14&amp;sty=h&amp;cp=33.4553~44.1566&amp;sp=point.33.4553_44.1566","Maplink3")</f>
        <v>Maplink3</v>
      </c>
    </row>
    <row r="176" spans="1:48" x14ac:dyDescent="0.25">
      <c r="A176" s="9">
        <v>29585</v>
      </c>
      <c r="B176" s="10" t="s">
        <v>10</v>
      </c>
      <c r="C176" s="10" t="s">
        <v>424</v>
      </c>
      <c r="D176" s="10" t="s">
        <v>425</v>
      </c>
      <c r="E176" s="10" t="s">
        <v>426</v>
      </c>
      <c r="F176" s="10">
        <v>33.0453218038</v>
      </c>
      <c r="G176" s="10">
        <v>44.1954457533</v>
      </c>
      <c r="H176" s="11">
        <v>80</v>
      </c>
      <c r="I176" s="11">
        <v>480</v>
      </c>
      <c r="J176" s="11"/>
      <c r="K176" s="11">
        <v>20</v>
      </c>
      <c r="L176" s="11">
        <v>20</v>
      </c>
      <c r="M176" s="11"/>
      <c r="N176" s="11"/>
      <c r="O176" s="11"/>
      <c r="P176" s="11">
        <v>20</v>
      </c>
      <c r="Q176" s="11"/>
      <c r="R176" s="11"/>
      <c r="S176" s="11">
        <v>20</v>
      </c>
      <c r="T176" s="11"/>
      <c r="U176" s="11"/>
      <c r="V176" s="11"/>
      <c r="W176" s="11"/>
      <c r="X176" s="11"/>
      <c r="Y176" s="11"/>
      <c r="Z176" s="11"/>
      <c r="AA176" s="11"/>
      <c r="AB176" s="11"/>
      <c r="AC176" s="11">
        <v>80</v>
      </c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>
        <v>80</v>
      </c>
      <c r="AP176" s="11"/>
      <c r="AQ176" s="11"/>
      <c r="AR176" s="11"/>
      <c r="AS176" s="11"/>
      <c r="AT176" s="20" t="str">
        <f>HYPERLINK("http://www.openstreetmap.org/?mlat=33.0453&amp;mlon=44.1954&amp;zoom=12#map=12/33.0453/44.1954","Maplink1")</f>
        <v>Maplink1</v>
      </c>
      <c r="AU176" s="20" t="str">
        <f>HYPERLINK("https://www.google.iq/maps/search/+33.0453,44.1954/@33.0453,44.1954,14z?hl=en","Maplink2")</f>
        <v>Maplink2</v>
      </c>
      <c r="AV176" s="20" t="str">
        <f>HYPERLINK("http://www.bing.com/maps/?lvl=14&amp;sty=h&amp;cp=33.0453~44.1954&amp;sp=point.33.0453_44.1954","Maplink3")</f>
        <v>Maplink3</v>
      </c>
    </row>
    <row r="177" spans="1:48" x14ac:dyDescent="0.25">
      <c r="A177" s="9">
        <v>29525</v>
      </c>
      <c r="B177" s="10" t="s">
        <v>10</v>
      </c>
      <c r="C177" s="10" t="s">
        <v>424</v>
      </c>
      <c r="D177" s="10" t="s">
        <v>427</v>
      </c>
      <c r="E177" s="10" t="s">
        <v>428</v>
      </c>
      <c r="F177" s="10">
        <v>33.0397537578</v>
      </c>
      <c r="G177" s="10">
        <v>44.1914245583</v>
      </c>
      <c r="H177" s="11">
        <v>49</v>
      </c>
      <c r="I177" s="11">
        <v>294</v>
      </c>
      <c r="J177" s="11"/>
      <c r="K177" s="11"/>
      <c r="L177" s="11">
        <v>49</v>
      </c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>
        <v>49</v>
      </c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>
        <v>49</v>
      </c>
      <c r="AQ177" s="11"/>
      <c r="AR177" s="11"/>
      <c r="AS177" s="11"/>
      <c r="AT177" s="20" t="str">
        <f>HYPERLINK("http://www.openstreetmap.org/?mlat=33.0398&amp;mlon=44.1914&amp;zoom=12#map=12/33.0398/44.1914","Maplink1")</f>
        <v>Maplink1</v>
      </c>
      <c r="AU177" s="20" t="str">
        <f>HYPERLINK("https://www.google.iq/maps/search/+33.0398,44.1914/@33.0398,44.1914,14z?hl=en","Maplink2")</f>
        <v>Maplink2</v>
      </c>
      <c r="AV177" s="20" t="str">
        <f>HYPERLINK("http://www.bing.com/maps/?lvl=14&amp;sty=h&amp;cp=33.0398~44.1914&amp;sp=point.33.0398_44.1914","Maplink3")</f>
        <v>Maplink3</v>
      </c>
    </row>
    <row r="178" spans="1:48" x14ac:dyDescent="0.25">
      <c r="A178" s="9">
        <v>29524</v>
      </c>
      <c r="B178" s="10" t="s">
        <v>10</v>
      </c>
      <c r="C178" s="10" t="s">
        <v>424</v>
      </c>
      <c r="D178" s="10" t="s">
        <v>429</v>
      </c>
      <c r="E178" s="10" t="s">
        <v>430</v>
      </c>
      <c r="F178" s="10">
        <v>33.035922742399997</v>
      </c>
      <c r="G178" s="10">
        <v>44.180297592000002</v>
      </c>
      <c r="H178" s="11">
        <v>75</v>
      </c>
      <c r="I178" s="11">
        <v>450</v>
      </c>
      <c r="J178" s="11"/>
      <c r="K178" s="11">
        <v>23</v>
      </c>
      <c r="L178" s="11">
        <v>42</v>
      </c>
      <c r="M178" s="11"/>
      <c r="N178" s="11"/>
      <c r="O178" s="11"/>
      <c r="P178" s="11">
        <v>10</v>
      </c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>
        <v>75</v>
      </c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>
        <v>75</v>
      </c>
      <c r="AQ178" s="11"/>
      <c r="AR178" s="11"/>
      <c r="AS178" s="11"/>
      <c r="AT178" s="20" t="str">
        <f>HYPERLINK("http://www.openstreetmap.org/?mlat=33.0359&amp;mlon=44.1803&amp;zoom=12#map=12/33.0359/44.1803","Maplink1")</f>
        <v>Maplink1</v>
      </c>
      <c r="AU178" s="20" t="str">
        <f>HYPERLINK("https://www.google.iq/maps/search/+33.0359,44.1803/@33.0359,44.1803,14z?hl=en","Maplink2")</f>
        <v>Maplink2</v>
      </c>
      <c r="AV178" s="20" t="str">
        <f>HYPERLINK("http://www.bing.com/maps/?lvl=14&amp;sty=h&amp;cp=33.0359~44.1803&amp;sp=point.33.0359_44.1803","Maplink3")</f>
        <v>Maplink3</v>
      </c>
    </row>
    <row r="179" spans="1:48" x14ac:dyDescent="0.25">
      <c r="A179" s="9">
        <v>29527</v>
      </c>
      <c r="B179" s="10" t="s">
        <v>10</v>
      </c>
      <c r="C179" s="10" t="s">
        <v>424</v>
      </c>
      <c r="D179" s="10" t="s">
        <v>431</v>
      </c>
      <c r="E179" s="10" t="s">
        <v>432</v>
      </c>
      <c r="F179" s="10">
        <v>33.042396330000003</v>
      </c>
      <c r="G179" s="10">
        <v>44.188075120000001</v>
      </c>
      <c r="H179" s="11">
        <v>25</v>
      </c>
      <c r="I179" s="11">
        <v>150</v>
      </c>
      <c r="J179" s="11"/>
      <c r="K179" s="11"/>
      <c r="L179" s="11">
        <v>25</v>
      </c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>
        <v>25</v>
      </c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>
        <v>25</v>
      </c>
      <c r="AQ179" s="11"/>
      <c r="AR179" s="11"/>
      <c r="AS179" s="11"/>
      <c r="AT179" s="20" t="str">
        <f>HYPERLINK("http://www.openstreetmap.org/?mlat=33.0424&amp;mlon=44.1881&amp;zoom=12#map=12/33.0424/44.1881","Maplink1")</f>
        <v>Maplink1</v>
      </c>
      <c r="AU179" s="20" t="str">
        <f>HYPERLINK("https://www.google.iq/maps/search/+33.0424,44.1881/@33.0424,44.1881,14z?hl=en","Maplink2")</f>
        <v>Maplink2</v>
      </c>
      <c r="AV179" s="20" t="str">
        <f>HYPERLINK("http://www.bing.com/maps/?lvl=14&amp;sty=h&amp;cp=33.0424~44.1881&amp;sp=point.33.0424_44.1881","Maplink3")</f>
        <v>Maplink3</v>
      </c>
    </row>
    <row r="180" spans="1:48" x14ac:dyDescent="0.25">
      <c r="A180" s="9">
        <v>7682</v>
      </c>
      <c r="B180" s="10" t="s">
        <v>10</v>
      </c>
      <c r="C180" s="10" t="s">
        <v>424</v>
      </c>
      <c r="D180" s="10" t="s">
        <v>433</v>
      </c>
      <c r="E180" s="10" t="s">
        <v>434</v>
      </c>
      <c r="F180" s="10">
        <v>33.038573999999997</v>
      </c>
      <c r="G180" s="10">
        <v>44.203885999999997</v>
      </c>
      <c r="H180" s="11">
        <v>329</v>
      </c>
      <c r="I180" s="11">
        <v>1974</v>
      </c>
      <c r="J180" s="11"/>
      <c r="K180" s="11"/>
      <c r="L180" s="11">
        <v>329</v>
      </c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>
        <v>266</v>
      </c>
      <c r="AD180" s="11">
        <v>63</v>
      </c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>
        <v>134</v>
      </c>
      <c r="AP180" s="11">
        <v>195</v>
      </c>
      <c r="AQ180" s="11"/>
      <c r="AR180" s="11"/>
      <c r="AS180" s="11"/>
      <c r="AT180" s="20" t="str">
        <f>HYPERLINK("http://www.openstreetmap.org/?mlat=33.0386&amp;mlon=44.2039&amp;zoom=12#map=12/33.0386/44.2039","Maplink1")</f>
        <v>Maplink1</v>
      </c>
      <c r="AU180" s="20" t="str">
        <f>HYPERLINK("https://www.google.iq/maps/search/+33.0386,44.2039/@33.0386,44.2039,14z?hl=en","Maplink2")</f>
        <v>Maplink2</v>
      </c>
      <c r="AV180" s="20" t="str">
        <f>HYPERLINK("http://www.bing.com/maps/?lvl=14&amp;sty=h&amp;cp=33.0386~44.2039&amp;sp=point.33.0386_44.2039","Maplink3")</f>
        <v>Maplink3</v>
      </c>
    </row>
    <row r="181" spans="1:48" x14ac:dyDescent="0.25">
      <c r="A181" s="9">
        <v>29493</v>
      </c>
      <c r="B181" s="10" t="s">
        <v>10</v>
      </c>
      <c r="C181" s="10" t="s">
        <v>424</v>
      </c>
      <c r="D181" s="10" t="s">
        <v>435</v>
      </c>
      <c r="E181" s="10" t="s">
        <v>436</v>
      </c>
      <c r="F181" s="10">
        <v>33.038465330000001</v>
      </c>
      <c r="G181" s="10">
        <v>44.202811169999997</v>
      </c>
      <c r="H181" s="11">
        <v>70</v>
      </c>
      <c r="I181" s="11">
        <v>420</v>
      </c>
      <c r="J181" s="11"/>
      <c r="K181" s="11"/>
      <c r="L181" s="11">
        <v>70</v>
      </c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>
        <v>70</v>
      </c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>
        <v>70</v>
      </c>
      <c r="AP181" s="11"/>
      <c r="AQ181" s="11"/>
      <c r="AR181" s="11"/>
      <c r="AS181" s="11"/>
      <c r="AT181" s="20" t="str">
        <f>HYPERLINK("http://www.openstreetmap.org/?mlat=33.0385&amp;mlon=44.2028&amp;zoom=12#map=12/33.0385/44.2028","Maplink1")</f>
        <v>Maplink1</v>
      </c>
      <c r="AU181" s="20" t="str">
        <f>HYPERLINK("https://www.google.iq/maps/search/+33.0385,44.2028/@33.0385,44.2028,14z?hl=en","Maplink2")</f>
        <v>Maplink2</v>
      </c>
      <c r="AV181" s="20" t="str">
        <f>HYPERLINK("http://www.bing.com/maps/?lvl=14&amp;sty=h&amp;cp=33.0385~44.2028&amp;sp=point.33.0385_44.2028","Maplink3")</f>
        <v>Maplink3</v>
      </c>
    </row>
    <row r="182" spans="1:48" x14ac:dyDescent="0.25">
      <c r="A182" s="9">
        <v>29492</v>
      </c>
      <c r="B182" s="10" t="s">
        <v>10</v>
      </c>
      <c r="C182" s="10" t="s">
        <v>424</v>
      </c>
      <c r="D182" s="10" t="s">
        <v>437</v>
      </c>
      <c r="E182" s="10" t="s">
        <v>438</v>
      </c>
      <c r="F182" s="10">
        <v>33.030382029999998</v>
      </c>
      <c r="G182" s="10">
        <v>44.210254480000003</v>
      </c>
      <c r="H182" s="11">
        <v>33</v>
      </c>
      <c r="I182" s="11">
        <v>198</v>
      </c>
      <c r="J182" s="11"/>
      <c r="K182" s="11"/>
      <c r="L182" s="11">
        <v>33</v>
      </c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>
        <v>33</v>
      </c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>
        <v>33</v>
      </c>
      <c r="AQ182" s="11"/>
      <c r="AR182" s="11"/>
      <c r="AS182" s="11"/>
      <c r="AT182" s="20" t="str">
        <f>HYPERLINK("http://www.openstreetmap.org/?mlat=33.0304&amp;mlon=44.2103&amp;zoom=12#map=12/33.0304/44.2103","Maplink1")</f>
        <v>Maplink1</v>
      </c>
      <c r="AU182" s="20" t="str">
        <f>HYPERLINK("https://www.google.iq/maps/search/+33.0304,44.2103/@33.0304,44.2103,14z?hl=en","Maplink2")</f>
        <v>Maplink2</v>
      </c>
      <c r="AV182" s="20" t="str">
        <f>HYPERLINK("http://www.bing.com/maps/?lvl=14&amp;sty=h&amp;cp=33.0304~44.2103&amp;sp=point.33.0304_44.2103","Maplink3")</f>
        <v>Maplink3</v>
      </c>
    </row>
    <row r="183" spans="1:48" x14ac:dyDescent="0.25">
      <c r="A183" s="9">
        <v>29491</v>
      </c>
      <c r="B183" s="10" t="s">
        <v>10</v>
      </c>
      <c r="C183" s="10" t="s">
        <v>424</v>
      </c>
      <c r="D183" s="10" t="s">
        <v>439</v>
      </c>
      <c r="E183" s="10" t="s">
        <v>440</v>
      </c>
      <c r="F183" s="10">
        <v>33.045471589999998</v>
      </c>
      <c r="G183" s="10">
        <v>44.200152109999998</v>
      </c>
      <c r="H183" s="11">
        <v>320</v>
      </c>
      <c r="I183" s="11">
        <v>1920</v>
      </c>
      <c r="J183" s="11"/>
      <c r="K183" s="11">
        <v>20</v>
      </c>
      <c r="L183" s="11">
        <v>200</v>
      </c>
      <c r="M183" s="11"/>
      <c r="N183" s="11"/>
      <c r="O183" s="11"/>
      <c r="P183" s="11">
        <v>24</v>
      </c>
      <c r="Q183" s="11"/>
      <c r="R183" s="11"/>
      <c r="S183" s="11"/>
      <c r="T183" s="11"/>
      <c r="U183" s="11"/>
      <c r="V183" s="11"/>
      <c r="W183" s="11"/>
      <c r="X183" s="11"/>
      <c r="Y183" s="11">
        <v>76</v>
      </c>
      <c r="Z183" s="11"/>
      <c r="AA183" s="11"/>
      <c r="AB183" s="11"/>
      <c r="AC183" s="11">
        <v>320</v>
      </c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>
        <v>320</v>
      </c>
      <c r="AQ183" s="11"/>
      <c r="AR183" s="11"/>
      <c r="AS183" s="11"/>
      <c r="AT183" s="20" t="str">
        <f>HYPERLINK("http://www.openstreetmap.org/?mlat=33.0455&amp;mlon=44.2002&amp;zoom=12#map=12/33.0455/44.2002","Maplink1")</f>
        <v>Maplink1</v>
      </c>
      <c r="AU183" s="20" t="str">
        <f>HYPERLINK("https://www.google.iq/maps/search/+33.0455,44.2002/@33.0455,44.2002,14z?hl=en","Maplink2")</f>
        <v>Maplink2</v>
      </c>
      <c r="AV183" s="20" t="str">
        <f>HYPERLINK("http://www.bing.com/maps/?lvl=14&amp;sty=h&amp;cp=33.0455~44.2002&amp;sp=point.33.0455_44.2002","Maplink3")</f>
        <v>Maplink3</v>
      </c>
    </row>
    <row r="184" spans="1:48" x14ac:dyDescent="0.25">
      <c r="A184" s="9">
        <v>29490</v>
      </c>
      <c r="B184" s="10" t="s">
        <v>10</v>
      </c>
      <c r="C184" s="10" t="s">
        <v>424</v>
      </c>
      <c r="D184" s="10" t="s">
        <v>441</v>
      </c>
      <c r="E184" s="10" t="s">
        <v>442</v>
      </c>
      <c r="F184" s="10">
        <v>32.9908</v>
      </c>
      <c r="G184" s="10">
        <v>44.176000000000002</v>
      </c>
      <c r="H184" s="11">
        <v>400</v>
      </c>
      <c r="I184" s="11">
        <v>2400</v>
      </c>
      <c r="J184" s="11"/>
      <c r="K184" s="11"/>
      <c r="L184" s="11">
        <v>280</v>
      </c>
      <c r="M184" s="11"/>
      <c r="N184" s="11"/>
      <c r="O184" s="11"/>
      <c r="P184" s="11">
        <v>120</v>
      </c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>
        <v>400</v>
      </c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>
        <v>120</v>
      </c>
      <c r="AP184" s="11">
        <v>280</v>
      </c>
      <c r="AQ184" s="11"/>
      <c r="AR184" s="11"/>
      <c r="AS184" s="11"/>
      <c r="AT184" s="20" t="str">
        <f>HYPERLINK("http://www.openstreetmap.org/?mlat=32.9908&amp;mlon=44.176&amp;zoom=12#map=12/32.9908/44.176","Maplink1")</f>
        <v>Maplink1</v>
      </c>
      <c r="AU184" s="20" t="str">
        <f>HYPERLINK("https://www.google.iq/maps/search/+32.9908,44.176/@32.9908,44.176,14z?hl=en","Maplink2")</f>
        <v>Maplink2</v>
      </c>
      <c r="AV184" s="20" t="str">
        <f>HYPERLINK("http://www.bing.com/maps/?lvl=14&amp;sty=h&amp;cp=32.9908~44.176&amp;sp=point.32.9908_44.176","Maplink3")</f>
        <v>Maplink3</v>
      </c>
    </row>
    <row r="185" spans="1:48" x14ac:dyDescent="0.25">
      <c r="A185" s="9">
        <v>29528</v>
      </c>
      <c r="B185" s="10" t="s">
        <v>10</v>
      </c>
      <c r="C185" s="10" t="s">
        <v>424</v>
      </c>
      <c r="D185" s="10" t="s">
        <v>443</v>
      </c>
      <c r="E185" s="10" t="s">
        <v>444</v>
      </c>
      <c r="F185" s="10">
        <v>33.050910999999999</v>
      </c>
      <c r="G185" s="10">
        <v>44.233891</v>
      </c>
      <c r="H185" s="11">
        <v>210</v>
      </c>
      <c r="I185" s="11">
        <v>1260</v>
      </c>
      <c r="J185" s="11"/>
      <c r="K185" s="11"/>
      <c r="L185" s="11">
        <v>210</v>
      </c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>
        <v>210</v>
      </c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>
        <v>28</v>
      </c>
      <c r="AP185" s="11">
        <v>182</v>
      </c>
      <c r="AQ185" s="11"/>
      <c r="AR185" s="11"/>
      <c r="AS185" s="11"/>
      <c r="AT185" s="20" t="str">
        <f>HYPERLINK("http://www.openstreetmap.org/?mlat=33.0509&amp;mlon=44.2339&amp;zoom=12#map=12/33.0509/44.2339","Maplink1")</f>
        <v>Maplink1</v>
      </c>
      <c r="AU185" s="20" t="str">
        <f>HYPERLINK("https://www.google.iq/maps/search/+33.0509,44.2339/@33.0509,44.2339,14z?hl=en","Maplink2")</f>
        <v>Maplink2</v>
      </c>
      <c r="AV185" s="20" t="str">
        <f>HYPERLINK("http://www.bing.com/maps/?lvl=14&amp;sty=h&amp;cp=33.0509~44.2339&amp;sp=point.33.0509_44.2339","Maplink3")</f>
        <v>Maplink3</v>
      </c>
    </row>
    <row r="186" spans="1:48" x14ac:dyDescent="0.25">
      <c r="A186" s="9">
        <v>29523</v>
      </c>
      <c r="B186" s="10" t="s">
        <v>10</v>
      </c>
      <c r="C186" s="10" t="s">
        <v>424</v>
      </c>
      <c r="D186" s="10" t="s">
        <v>445</v>
      </c>
      <c r="E186" s="10" t="s">
        <v>446</v>
      </c>
      <c r="F186" s="10">
        <v>33.064230000000002</v>
      </c>
      <c r="G186" s="10">
        <v>44.233170000000001</v>
      </c>
      <c r="H186" s="11">
        <v>1050</v>
      </c>
      <c r="I186" s="11">
        <v>6300</v>
      </c>
      <c r="J186" s="11"/>
      <c r="K186" s="11">
        <v>51</v>
      </c>
      <c r="L186" s="11">
        <v>900</v>
      </c>
      <c r="M186" s="11"/>
      <c r="N186" s="11"/>
      <c r="O186" s="11"/>
      <c r="P186" s="11">
        <v>99</v>
      </c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>
        <v>1050</v>
      </c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>
        <v>1050</v>
      </c>
      <c r="AQ186" s="11"/>
      <c r="AR186" s="11"/>
      <c r="AS186" s="11"/>
      <c r="AT186" s="20" t="str">
        <f>HYPERLINK("http://www.openstreetmap.org/?mlat=33.0642&amp;mlon=44.2332&amp;zoom=12#map=12/33.0642/44.2332","Maplink1")</f>
        <v>Maplink1</v>
      </c>
      <c r="AU186" s="20" t="str">
        <f>HYPERLINK("https://www.google.iq/maps/search/+33.0642,44.2332/@33.0642,44.2332,14z?hl=en","Maplink2")</f>
        <v>Maplink2</v>
      </c>
      <c r="AV186" s="20" t="str">
        <f>HYPERLINK("http://www.bing.com/maps/?lvl=14&amp;sty=h&amp;cp=33.0642~44.2332&amp;sp=point.33.0642_44.2332","Maplink3")</f>
        <v>Maplink3</v>
      </c>
    </row>
    <row r="187" spans="1:48" x14ac:dyDescent="0.25">
      <c r="A187" s="9">
        <v>25153</v>
      </c>
      <c r="B187" s="10" t="s">
        <v>10</v>
      </c>
      <c r="C187" s="10" t="s">
        <v>424</v>
      </c>
      <c r="D187" s="10" t="s">
        <v>447</v>
      </c>
      <c r="E187" s="10" t="s">
        <v>448</v>
      </c>
      <c r="F187" s="10">
        <v>32.944312009999997</v>
      </c>
      <c r="G187" s="10">
        <v>44.35577996</v>
      </c>
      <c r="H187" s="11">
        <v>31</v>
      </c>
      <c r="I187" s="11">
        <v>186</v>
      </c>
      <c r="J187" s="11"/>
      <c r="K187" s="11"/>
      <c r="L187" s="11">
        <v>31</v>
      </c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>
        <v>31</v>
      </c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>
        <v>31</v>
      </c>
      <c r="AQ187" s="11"/>
      <c r="AR187" s="11"/>
      <c r="AS187" s="11"/>
      <c r="AT187" s="20" t="str">
        <f>HYPERLINK("http://www.openstreetmap.org/?mlat=32.9443&amp;mlon=44.3558&amp;zoom=12#map=12/32.9443/44.3558","Maplink1")</f>
        <v>Maplink1</v>
      </c>
      <c r="AU187" s="20" t="str">
        <f>HYPERLINK("https://www.google.iq/maps/search/+32.9443,44.3558/@32.9443,44.3558,14z?hl=en","Maplink2")</f>
        <v>Maplink2</v>
      </c>
      <c r="AV187" s="20" t="str">
        <f>HYPERLINK("http://www.bing.com/maps/?lvl=14&amp;sty=h&amp;cp=32.9443~44.3558&amp;sp=point.32.9443_44.3558","Maplink3")</f>
        <v>Maplink3</v>
      </c>
    </row>
    <row r="188" spans="1:48" x14ac:dyDescent="0.25">
      <c r="A188" s="9">
        <v>29489</v>
      </c>
      <c r="B188" s="10" t="s">
        <v>10</v>
      </c>
      <c r="C188" s="10" t="s">
        <v>424</v>
      </c>
      <c r="D188" s="10" t="s">
        <v>449</v>
      </c>
      <c r="E188" s="10" t="s">
        <v>450</v>
      </c>
      <c r="F188" s="10">
        <v>32.947200000000002</v>
      </c>
      <c r="G188" s="10">
        <v>44.386899999999997</v>
      </c>
      <c r="H188" s="11">
        <v>36</v>
      </c>
      <c r="I188" s="11">
        <v>216</v>
      </c>
      <c r="J188" s="11"/>
      <c r="K188" s="11"/>
      <c r="L188" s="11">
        <v>36</v>
      </c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>
        <v>36</v>
      </c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>
        <v>36</v>
      </c>
      <c r="AQ188" s="11"/>
      <c r="AR188" s="11"/>
      <c r="AS188" s="11"/>
      <c r="AT188" s="20" t="str">
        <f>HYPERLINK("http://www.openstreetmap.org/?mlat=32.9472&amp;mlon=44.3869&amp;zoom=12#map=12/32.9472/44.3869","Maplink1")</f>
        <v>Maplink1</v>
      </c>
      <c r="AU188" s="20" t="str">
        <f>HYPERLINK("https://www.google.iq/maps/search/+32.9472,44.3869/@32.9472,44.3869,14z?hl=en","Maplink2")</f>
        <v>Maplink2</v>
      </c>
      <c r="AV188" s="20" t="str">
        <f>HYPERLINK("http://www.bing.com/maps/?lvl=14&amp;sty=h&amp;cp=32.9472~44.3869&amp;sp=point.32.9472_44.3869","Maplink3")</f>
        <v>Maplink3</v>
      </c>
    </row>
    <row r="189" spans="1:48" x14ac:dyDescent="0.25">
      <c r="A189" s="9">
        <v>31993</v>
      </c>
      <c r="B189" s="10" t="s">
        <v>10</v>
      </c>
      <c r="C189" s="10" t="s">
        <v>424</v>
      </c>
      <c r="D189" s="10" t="s">
        <v>451</v>
      </c>
      <c r="E189" s="10" t="s">
        <v>452</v>
      </c>
      <c r="F189" s="10">
        <v>33.171292999999999</v>
      </c>
      <c r="G189" s="10">
        <v>44.006439</v>
      </c>
      <c r="H189" s="11">
        <v>105</v>
      </c>
      <c r="I189" s="11">
        <v>630</v>
      </c>
      <c r="J189" s="11"/>
      <c r="K189" s="11"/>
      <c r="L189" s="11">
        <v>105</v>
      </c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>
        <v>105</v>
      </c>
      <c r="AD189" s="11"/>
      <c r="AE189" s="11"/>
      <c r="AF189" s="11"/>
      <c r="AG189" s="11"/>
      <c r="AH189" s="11"/>
      <c r="AI189" s="11"/>
      <c r="AJ189" s="11"/>
      <c r="AK189" s="11"/>
      <c r="AL189" s="11"/>
      <c r="AM189" s="11">
        <v>27</v>
      </c>
      <c r="AN189" s="11">
        <v>78</v>
      </c>
      <c r="AO189" s="11"/>
      <c r="AP189" s="11"/>
      <c r="AQ189" s="11"/>
      <c r="AR189" s="11"/>
      <c r="AS189" s="11"/>
      <c r="AT189" s="20" t="str">
        <f>HYPERLINK("http://www.openstreetmap.org/?mlat=33.1713&amp;mlon=44.0064&amp;zoom=12#map=12/33.1713/44.0064","Maplink1")</f>
        <v>Maplink1</v>
      </c>
      <c r="AU189" s="20" t="str">
        <f>HYPERLINK("https://www.google.iq/maps/search/+33.1713,44.0064/@33.1713,44.0064,14z?hl=en","Maplink2")</f>
        <v>Maplink2</v>
      </c>
      <c r="AV189" s="20" t="str">
        <f>HYPERLINK("http://www.bing.com/maps/?lvl=14&amp;sty=h&amp;cp=33.1713~44.0064&amp;sp=point.33.1713_44.0064","Maplink3")</f>
        <v>Maplink3</v>
      </c>
    </row>
    <row r="190" spans="1:48" x14ac:dyDescent="0.25">
      <c r="A190" s="9">
        <v>29487</v>
      </c>
      <c r="B190" s="10" t="s">
        <v>10</v>
      </c>
      <c r="C190" s="10" t="s">
        <v>424</v>
      </c>
      <c r="D190" s="10" t="s">
        <v>453</v>
      </c>
      <c r="E190" s="10" t="s">
        <v>454</v>
      </c>
      <c r="F190" s="10">
        <v>33.020099999999999</v>
      </c>
      <c r="G190" s="10">
        <v>44.381100000000004</v>
      </c>
      <c r="H190" s="11">
        <v>86</v>
      </c>
      <c r="I190" s="11">
        <v>516</v>
      </c>
      <c r="J190" s="11"/>
      <c r="K190" s="11"/>
      <c r="L190" s="11">
        <v>86</v>
      </c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>
        <v>86</v>
      </c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>
        <v>86</v>
      </c>
      <c r="AQ190" s="11"/>
      <c r="AR190" s="11"/>
      <c r="AS190" s="11"/>
      <c r="AT190" s="20" t="str">
        <f>HYPERLINK("http://www.openstreetmap.org/?mlat=33.0201&amp;mlon=44.3811&amp;zoom=12#map=12/33.0201/44.3811","Maplink1")</f>
        <v>Maplink1</v>
      </c>
      <c r="AU190" s="20" t="str">
        <f>HYPERLINK("https://www.google.iq/maps/search/+33.0201,44.3811/@33.0201,44.3811,14z?hl=en","Maplink2")</f>
        <v>Maplink2</v>
      </c>
      <c r="AV190" s="20" t="str">
        <f>HYPERLINK("http://www.bing.com/maps/?lvl=14&amp;sty=h&amp;cp=33.0201~44.3811&amp;sp=point.33.0201_44.3811","Maplink3")</f>
        <v>Maplink3</v>
      </c>
    </row>
    <row r="191" spans="1:48" x14ac:dyDescent="0.25">
      <c r="A191" s="9">
        <v>31992</v>
      </c>
      <c r="B191" s="10" t="s">
        <v>10</v>
      </c>
      <c r="C191" s="10" t="s">
        <v>424</v>
      </c>
      <c r="D191" s="10" t="s">
        <v>455</v>
      </c>
      <c r="E191" s="10" t="s">
        <v>456</v>
      </c>
      <c r="F191" s="10">
        <v>33.020429</v>
      </c>
      <c r="G191" s="10">
        <v>44.391922000000001</v>
      </c>
      <c r="H191" s="11">
        <v>11</v>
      </c>
      <c r="I191" s="11">
        <v>66</v>
      </c>
      <c r="J191" s="11"/>
      <c r="K191" s="11"/>
      <c r="L191" s="11">
        <v>11</v>
      </c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>
        <v>11</v>
      </c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>
        <v>11</v>
      </c>
      <c r="AP191" s="11"/>
      <c r="AQ191" s="11"/>
      <c r="AR191" s="11"/>
      <c r="AS191" s="11"/>
      <c r="AT191" s="20" t="str">
        <f>HYPERLINK("http://www.openstreetmap.org/?mlat=33.0204&amp;mlon=44.3919&amp;zoom=12#map=12/33.0204/44.3919","Maplink1")</f>
        <v>Maplink1</v>
      </c>
      <c r="AU191" s="20" t="str">
        <f>HYPERLINK("https://www.google.iq/maps/search/+33.0204,44.3919/@33.0204,44.3919,14z?hl=en","Maplink2")</f>
        <v>Maplink2</v>
      </c>
      <c r="AV191" s="20" t="str">
        <f>HYPERLINK("http://www.bing.com/maps/?lvl=14&amp;sty=h&amp;cp=33.0204~44.3919&amp;sp=point.33.0204_44.3919","Maplink3")</f>
        <v>Maplink3</v>
      </c>
    </row>
    <row r="192" spans="1:48" x14ac:dyDescent="0.25">
      <c r="A192" s="9">
        <v>29488</v>
      </c>
      <c r="B192" s="10" t="s">
        <v>10</v>
      </c>
      <c r="C192" s="10" t="s">
        <v>424</v>
      </c>
      <c r="D192" s="10" t="s">
        <v>457</v>
      </c>
      <c r="E192" s="10" t="s">
        <v>458</v>
      </c>
      <c r="F192" s="10">
        <v>33.015099999999997</v>
      </c>
      <c r="G192" s="10">
        <v>44.380800000000001</v>
      </c>
      <c r="H192" s="11">
        <v>100</v>
      </c>
      <c r="I192" s="11">
        <v>600</v>
      </c>
      <c r="J192" s="11"/>
      <c r="K192" s="11"/>
      <c r="L192" s="11">
        <v>100</v>
      </c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>
        <v>100</v>
      </c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>
        <v>100</v>
      </c>
      <c r="AQ192" s="11"/>
      <c r="AR192" s="11"/>
      <c r="AS192" s="11"/>
      <c r="AT192" s="20" t="str">
        <f>HYPERLINK("http://www.openstreetmap.org/?mlat=33.0151&amp;mlon=44.3808&amp;zoom=12#map=12/33.0151/44.3808","Maplink1")</f>
        <v>Maplink1</v>
      </c>
      <c r="AU192" s="20" t="str">
        <f>HYPERLINK("https://www.google.iq/maps/search/+33.0151,44.3808/@33.0151,44.3808,14z?hl=en","Maplink2")</f>
        <v>Maplink2</v>
      </c>
      <c r="AV192" s="20" t="str">
        <f>HYPERLINK("http://www.bing.com/maps/?lvl=14&amp;sty=h&amp;cp=33.0151~44.3808&amp;sp=point.33.0151_44.3808","Maplink3")</f>
        <v>Maplink3</v>
      </c>
    </row>
    <row r="193" spans="1:48" x14ac:dyDescent="0.25">
      <c r="A193" s="9">
        <v>7685</v>
      </c>
      <c r="B193" s="10" t="s">
        <v>10</v>
      </c>
      <c r="C193" s="10" t="s">
        <v>424</v>
      </c>
      <c r="D193" s="10" t="s">
        <v>459</v>
      </c>
      <c r="E193" s="10" t="s">
        <v>460</v>
      </c>
      <c r="F193" s="10">
        <v>32.9756</v>
      </c>
      <c r="G193" s="10">
        <v>44.416400000000003</v>
      </c>
      <c r="H193" s="11">
        <v>59</v>
      </c>
      <c r="I193" s="11">
        <v>354</v>
      </c>
      <c r="J193" s="11"/>
      <c r="K193" s="11"/>
      <c r="L193" s="11">
        <v>59</v>
      </c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>
        <v>59</v>
      </c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>
        <v>59</v>
      </c>
      <c r="AP193" s="11"/>
      <c r="AQ193" s="11"/>
      <c r="AR193" s="11"/>
      <c r="AS193" s="11"/>
      <c r="AT193" s="20" t="str">
        <f>HYPERLINK("http://www.openstreetmap.org/?mlat=32.9756&amp;mlon=44.4164&amp;zoom=12#map=12/32.9756/44.4164","Maplink1")</f>
        <v>Maplink1</v>
      </c>
      <c r="AU193" s="20" t="str">
        <f>HYPERLINK("https://www.google.iq/maps/search/+32.9756,44.4164/@32.9756,44.4164,14z?hl=en","Maplink2")</f>
        <v>Maplink2</v>
      </c>
      <c r="AV193" s="20" t="str">
        <f>HYPERLINK("http://www.bing.com/maps/?lvl=14&amp;sty=h&amp;cp=32.9756~44.4164&amp;sp=point.32.9756_44.4164","Maplink3")</f>
        <v>Maplink3</v>
      </c>
    </row>
    <row r="194" spans="1:48" x14ac:dyDescent="0.25">
      <c r="A194" s="9">
        <v>7684</v>
      </c>
      <c r="B194" s="10" t="s">
        <v>10</v>
      </c>
      <c r="C194" s="10" t="s">
        <v>424</v>
      </c>
      <c r="D194" s="10" t="s">
        <v>461</v>
      </c>
      <c r="E194" s="10" t="s">
        <v>462</v>
      </c>
      <c r="F194" s="10">
        <v>32.9876</v>
      </c>
      <c r="G194" s="10">
        <v>44.396799999999999</v>
      </c>
      <c r="H194" s="11">
        <v>44</v>
      </c>
      <c r="I194" s="11">
        <v>264</v>
      </c>
      <c r="J194" s="11"/>
      <c r="K194" s="11"/>
      <c r="L194" s="11">
        <v>44</v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>
        <v>44</v>
      </c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>
        <v>44</v>
      </c>
      <c r="AP194" s="11"/>
      <c r="AQ194" s="11"/>
      <c r="AR194" s="11"/>
      <c r="AS194" s="11"/>
      <c r="AT194" s="20" t="str">
        <f>HYPERLINK("http://www.openstreetmap.org/?mlat=32.9876&amp;mlon=44.3968&amp;zoom=12#map=12/32.9876/44.3968","Maplink1")</f>
        <v>Maplink1</v>
      </c>
      <c r="AU194" s="20" t="str">
        <f>HYPERLINK("https://www.google.iq/maps/search/+32.9876,44.3968/@32.9876,44.3968,14z?hl=en","Maplink2")</f>
        <v>Maplink2</v>
      </c>
      <c r="AV194" s="20" t="str">
        <f>HYPERLINK("http://www.bing.com/maps/?lvl=14&amp;sty=h&amp;cp=32.9876~44.3968&amp;sp=point.32.9876_44.3968","Maplink3")</f>
        <v>Maplink3</v>
      </c>
    </row>
    <row r="195" spans="1:48" x14ac:dyDescent="0.25">
      <c r="A195" s="9">
        <v>29526</v>
      </c>
      <c r="B195" s="10" t="s">
        <v>10</v>
      </c>
      <c r="C195" s="10" t="s">
        <v>424</v>
      </c>
      <c r="D195" s="10" t="s">
        <v>463</v>
      </c>
      <c r="E195" s="10" t="s">
        <v>464</v>
      </c>
      <c r="F195" s="10">
        <v>33.029121521199997</v>
      </c>
      <c r="G195" s="10">
        <v>44.212628872899998</v>
      </c>
      <c r="H195" s="11">
        <v>150</v>
      </c>
      <c r="I195" s="11">
        <v>900</v>
      </c>
      <c r="J195" s="11"/>
      <c r="K195" s="11">
        <v>44</v>
      </c>
      <c r="L195" s="11">
        <v>98</v>
      </c>
      <c r="M195" s="11"/>
      <c r="N195" s="11"/>
      <c r="O195" s="11"/>
      <c r="P195" s="11">
        <v>8</v>
      </c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>
        <v>150</v>
      </c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>
        <v>48</v>
      </c>
      <c r="AP195" s="11">
        <v>102</v>
      </c>
      <c r="AQ195" s="11"/>
      <c r="AR195" s="11"/>
      <c r="AS195" s="11"/>
      <c r="AT195" s="20" t="str">
        <f>HYPERLINK("http://www.openstreetmap.org/?mlat=33.0291&amp;mlon=44.2126&amp;zoom=12#map=12/33.0291/44.2126","Maplink1")</f>
        <v>Maplink1</v>
      </c>
      <c r="AU195" s="20" t="str">
        <f>HYPERLINK("https://www.google.iq/maps/search/+33.0291,44.2126/@33.0291,44.2126,14z?hl=en","Maplink2")</f>
        <v>Maplink2</v>
      </c>
      <c r="AV195" s="20" t="str">
        <f>HYPERLINK("http://www.bing.com/maps/?lvl=14&amp;sty=h&amp;cp=33.0291~44.2126&amp;sp=point.33.0291_44.2126","Maplink3")</f>
        <v>Maplink3</v>
      </c>
    </row>
    <row r="196" spans="1:48" x14ac:dyDescent="0.25">
      <c r="A196" s="9">
        <v>25658</v>
      </c>
      <c r="B196" s="10" t="s">
        <v>13</v>
      </c>
      <c r="C196" s="10" t="s">
        <v>465</v>
      </c>
      <c r="D196" s="10" t="s">
        <v>466</v>
      </c>
      <c r="E196" s="10" t="s">
        <v>467</v>
      </c>
      <c r="F196" s="10">
        <v>34.065792850000001</v>
      </c>
      <c r="G196" s="10">
        <v>44.870625910000001</v>
      </c>
      <c r="H196" s="11">
        <v>180</v>
      </c>
      <c r="I196" s="11">
        <v>1080</v>
      </c>
      <c r="J196" s="11"/>
      <c r="K196" s="11"/>
      <c r="L196" s="11"/>
      <c r="M196" s="11"/>
      <c r="N196" s="11"/>
      <c r="O196" s="11">
        <v>125</v>
      </c>
      <c r="P196" s="11"/>
      <c r="Q196" s="11"/>
      <c r="R196" s="11">
        <v>25</v>
      </c>
      <c r="S196" s="11"/>
      <c r="T196" s="11"/>
      <c r="U196" s="11"/>
      <c r="V196" s="11"/>
      <c r="W196" s="11"/>
      <c r="X196" s="11"/>
      <c r="Y196" s="11">
        <v>30</v>
      </c>
      <c r="Z196" s="11"/>
      <c r="AA196" s="11"/>
      <c r="AB196" s="11"/>
      <c r="AC196" s="11">
        <v>180</v>
      </c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>
        <v>180</v>
      </c>
      <c r="AQ196" s="11"/>
      <c r="AR196" s="11"/>
      <c r="AS196" s="11"/>
      <c r="AT196" s="20" t="str">
        <f>HYPERLINK("http://www.openstreetmap.org/?mlat=34.0658&amp;mlon=44.8706&amp;zoom=12#map=12/34.0658/44.8706","Maplink1")</f>
        <v>Maplink1</v>
      </c>
      <c r="AU196" s="20" t="str">
        <f>HYPERLINK("https://www.google.iq/maps/search/+34.0658,44.8706/@34.0658,44.8706,14z?hl=en","Maplink2")</f>
        <v>Maplink2</v>
      </c>
      <c r="AV196" s="20" t="str">
        <f>HYPERLINK("http://www.bing.com/maps/?lvl=14&amp;sty=h&amp;cp=34.0658~44.8706&amp;sp=point.34.0658_44.8706","Maplink3")</f>
        <v>Maplink3</v>
      </c>
    </row>
    <row r="197" spans="1:48" x14ac:dyDescent="0.25">
      <c r="A197" s="9">
        <v>25662</v>
      </c>
      <c r="B197" s="10" t="s">
        <v>13</v>
      </c>
      <c r="C197" s="10" t="s">
        <v>465</v>
      </c>
      <c r="D197" s="10" t="s">
        <v>468</v>
      </c>
      <c r="E197" s="10" t="s">
        <v>469</v>
      </c>
      <c r="F197" s="10">
        <v>34.080570109999996</v>
      </c>
      <c r="G197" s="10">
        <v>44.919899021600003</v>
      </c>
      <c r="H197" s="11">
        <v>318</v>
      </c>
      <c r="I197" s="11">
        <v>1908</v>
      </c>
      <c r="J197" s="11"/>
      <c r="K197" s="11"/>
      <c r="L197" s="11"/>
      <c r="M197" s="11"/>
      <c r="N197" s="11"/>
      <c r="O197" s="11">
        <v>230</v>
      </c>
      <c r="P197" s="11"/>
      <c r="Q197" s="11"/>
      <c r="R197" s="11"/>
      <c r="S197" s="11"/>
      <c r="T197" s="11"/>
      <c r="U197" s="11"/>
      <c r="V197" s="11"/>
      <c r="W197" s="11"/>
      <c r="X197" s="11"/>
      <c r="Y197" s="11">
        <v>88</v>
      </c>
      <c r="Z197" s="11"/>
      <c r="AA197" s="11"/>
      <c r="AB197" s="11"/>
      <c r="AC197" s="11">
        <v>318</v>
      </c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>
        <v>318</v>
      </c>
      <c r="AO197" s="11"/>
      <c r="AP197" s="11"/>
      <c r="AQ197" s="11"/>
      <c r="AR197" s="11"/>
      <c r="AS197" s="11"/>
      <c r="AT197" s="20" t="str">
        <f>HYPERLINK("http://www.openstreetmap.org/?mlat=34.0806&amp;mlon=44.9199&amp;zoom=12#map=12/34.0806/44.9199","Maplink1")</f>
        <v>Maplink1</v>
      </c>
      <c r="AU197" s="20" t="str">
        <f>HYPERLINK("https://www.google.iq/maps/search/+34.0806,44.9199/@34.0806,44.9199,14z?hl=en","Maplink2")</f>
        <v>Maplink2</v>
      </c>
      <c r="AV197" s="20" t="str">
        <f>HYPERLINK("http://www.bing.com/maps/?lvl=14&amp;sty=h&amp;cp=34.0806~44.9199&amp;sp=point.34.0806_44.9199","Maplink3")</f>
        <v>Maplink3</v>
      </c>
    </row>
    <row r="198" spans="1:48" x14ac:dyDescent="0.25">
      <c r="A198" s="9">
        <v>11487</v>
      </c>
      <c r="B198" s="10" t="s">
        <v>13</v>
      </c>
      <c r="C198" s="10" t="s">
        <v>465</v>
      </c>
      <c r="D198" s="10" t="s">
        <v>470</v>
      </c>
      <c r="E198" s="10" t="s">
        <v>178</v>
      </c>
      <c r="F198" s="10">
        <v>34.067207279000002</v>
      </c>
      <c r="G198" s="10">
        <v>44.8617257796</v>
      </c>
      <c r="H198" s="11">
        <v>310</v>
      </c>
      <c r="I198" s="11">
        <v>1860</v>
      </c>
      <c r="J198" s="11"/>
      <c r="K198" s="11"/>
      <c r="L198" s="11"/>
      <c r="M198" s="11"/>
      <c r="N198" s="11"/>
      <c r="O198" s="11">
        <v>253</v>
      </c>
      <c r="P198" s="11"/>
      <c r="Q198" s="11"/>
      <c r="R198" s="11">
        <v>57</v>
      </c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>
        <v>310</v>
      </c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>
        <v>310</v>
      </c>
      <c r="AO198" s="11"/>
      <c r="AP198" s="11"/>
      <c r="AQ198" s="11"/>
      <c r="AR198" s="11"/>
      <c r="AS198" s="11"/>
      <c r="AT198" s="20" t="str">
        <f>HYPERLINK("http://www.openstreetmap.org/?mlat=34.0672&amp;mlon=44.8617&amp;zoom=12#map=12/34.0672/44.8617","Maplink1")</f>
        <v>Maplink1</v>
      </c>
      <c r="AU198" s="20" t="str">
        <f>HYPERLINK("https://www.google.iq/maps/search/+34.0672,44.8617/@34.0672,44.8617,14z?hl=en","Maplink2")</f>
        <v>Maplink2</v>
      </c>
      <c r="AV198" s="20" t="str">
        <f>HYPERLINK("http://www.bing.com/maps/?lvl=14&amp;sty=h&amp;cp=34.0672~44.8617&amp;sp=point.34.0672_44.8617","Maplink3")</f>
        <v>Maplink3</v>
      </c>
    </row>
    <row r="199" spans="1:48" x14ac:dyDescent="0.25">
      <c r="A199" s="9">
        <v>27182</v>
      </c>
      <c r="B199" s="10" t="s">
        <v>13</v>
      </c>
      <c r="C199" s="10" t="s">
        <v>465</v>
      </c>
      <c r="D199" s="10" t="s">
        <v>471</v>
      </c>
      <c r="E199" s="10" t="s">
        <v>472</v>
      </c>
      <c r="F199" s="10">
        <v>34.216153640000002</v>
      </c>
      <c r="G199" s="10">
        <v>44.512386360000001</v>
      </c>
      <c r="H199" s="11">
        <v>33</v>
      </c>
      <c r="I199" s="11">
        <v>198</v>
      </c>
      <c r="J199" s="11"/>
      <c r="K199" s="11"/>
      <c r="L199" s="11"/>
      <c r="M199" s="11"/>
      <c r="N199" s="11"/>
      <c r="O199" s="11"/>
      <c r="P199" s="11"/>
      <c r="Q199" s="11"/>
      <c r="R199" s="11">
        <v>33</v>
      </c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>
        <v>33</v>
      </c>
      <c r="AE199" s="11"/>
      <c r="AF199" s="11"/>
      <c r="AG199" s="11"/>
      <c r="AH199" s="11"/>
      <c r="AI199" s="11"/>
      <c r="AJ199" s="11"/>
      <c r="AK199" s="11"/>
      <c r="AL199" s="11"/>
      <c r="AM199" s="11"/>
      <c r="AN199" s="11">
        <v>33</v>
      </c>
      <c r="AO199" s="11"/>
      <c r="AP199" s="11"/>
      <c r="AQ199" s="11"/>
      <c r="AR199" s="11"/>
      <c r="AS199" s="11"/>
      <c r="AT199" s="20" t="str">
        <f>HYPERLINK("http://www.openstreetmap.org/?mlat=34.2162&amp;mlon=44.5124&amp;zoom=12#map=12/34.2162/44.5124","Maplink1")</f>
        <v>Maplink1</v>
      </c>
      <c r="AU199" s="20" t="str">
        <f>HYPERLINK("https://www.google.iq/maps/search/+34.2162,44.5124/@34.2162,44.5124,14z?hl=en","Maplink2")</f>
        <v>Maplink2</v>
      </c>
      <c r="AV199" s="20" t="str">
        <f>HYPERLINK("http://www.bing.com/maps/?lvl=14&amp;sty=h&amp;cp=34.2162~44.5124&amp;sp=point.34.2162_44.5124","Maplink3")</f>
        <v>Maplink3</v>
      </c>
    </row>
    <row r="200" spans="1:48" x14ac:dyDescent="0.25">
      <c r="A200" s="9">
        <v>25659</v>
      </c>
      <c r="B200" s="10" t="s">
        <v>13</v>
      </c>
      <c r="C200" s="10" t="s">
        <v>465</v>
      </c>
      <c r="D200" s="10" t="s">
        <v>473</v>
      </c>
      <c r="E200" s="10" t="s">
        <v>474</v>
      </c>
      <c r="F200" s="10">
        <v>34.091725642599997</v>
      </c>
      <c r="G200" s="10">
        <v>44.936574357300003</v>
      </c>
      <c r="H200" s="11">
        <v>47</v>
      </c>
      <c r="I200" s="11">
        <v>282</v>
      </c>
      <c r="J200" s="11"/>
      <c r="K200" s="11"/>
      <c r="L200" s="11"/>
      <c r="M200" s="11"/>
      <c r="N200" s="11"/>
      <c r="O200" s="11">
        <v>32</v>
      </c>
      <c r="P200" s="11"/>
      <c r="Q200" s="11"/>
      <c r="R200" s="11"/>
      <c r="S200" s="11"/>
      <c r="T200" s="11"/>
      <c r="U200" s="11"/>
      <c r="V200" s="11"/>
      <c r="W200" s="11"/>
      <c r="X200" s="11"/>
      <c r="Y200" s="11">
        <v>15</v>
      </c>
      <c r="Z200" s="11"/>
      <c r="AA200" s="11"/>
      <c r="AB200" s="11"/>
      <c r="AC200" s="11">
        <v>47</v>
      </c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>
        <v>47</v>
      </c>
      <c r="AQ200" s="11"/>
      <c r="AR200" s="11"/>
      <c r="AS200" s="11"/>
      <c r="AT200" s="20" t="str">
        <f>HYPERLINK("http://www.openstreetmap.org/?mlat=34.0917&amp;mlon=44.9366&amp;zoom=12#map=12/34.0917/44.9366","Maplink1")</f>
        <v>Maplink1</v>
      </c>
      <c r="AU200" s="20" t="str">
        <f>HYPERLINK("https://www.google.iq/maps/search/+34.0917,44.9366/@34.0917,44.9366,14z?hl=en","Maplink2")</f>
        <v>Maplink2</v>
      </c>
      <c r="AV200" s="20" t="str">
        <f>HYPERLINK("http://www.bing.com/maps/?lvl=14&amp;sty=h&amp;cp=34.0917~44.9366&amp;sp=point.34.0917_44.9366","Maplink3")</f>
        <v>Maplink3</v>
      </c>
    </row>
    <row r="201" spans="1:48" x14ac:dyDescent="0.25">
      <c r="A201" s="9">
        <v>27176</v>
      </c>
      <c r="B201" s="10" t="s">
        <v>13</v>
      </c>
      <c r="C201" s="10" t="s">
        <v>465</v>
      </c>
      <c r="D201" s="10" t="s">
        <v>475</v>
      </c>
      <c r="E201" s="10" t="s">
        <v>476</v>
      </c>
      <c r="F201" s="10">
        <v>34.043675497400002</v>
      </c>
      <c r="G201" s="10">
        <v>44.307617737999998</v>
      </c>
      <c r="H201" s="11">
        <v>70</v>
      </c>
      <c r="I201" s="11">
        <v>420</v>
      </c>
      <c r="J201" s="11"/>
      <c r="K201" s="11"/>
      <c r="L201" s="11"/>
      <c r="M201" s="11"/>
      <c r="N201" s="11"/>
      <c r="O201" s="11"/>
      <c r="P201" s="11"/>
      <c r="Q201" s="11"/>
      <c r="R201" s="11">
        <v>70</v>
      </c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>
        <v>70</v>
      </c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>
        <v>70</v>
      </c>
      <c r="AO201" s="11"/>
      <c r="AP201" s="11"/>
      <c r="AQ201" s="11"/>
      <c r="AR201" s="11"/>
      <c r="AS201" s="11"/>
      <c r="AT201" s="20" t="str">
        <f>HYPERLINK("http://www.openstreetmap.org/?mlat=34.0437&amp;mlon=44.3076&amp;zoom=12#map=12/34.0437/44.3076","Maplink1")</f>
        <v>Maplink1</v>
      </c>
      <c r="AU201" s="20" t="str">
        <f>HYPERLINK("https://www.google.iq/maps/search/+34.0437,44.3076/@34.0437,44.3076,14z?hl=en","Maplink2")</f>
        <v>Maplink2</v>
      </c>
      <c r="AV201" s="20" t="str">
        <f>HYPERLINK("http://www.bing.com/maps/?lvl=14&amp;sty=h&amp;cp=34.0437~44.3076&amp;sp=point.34.0437_44.3076","Maplink3")</f>
        <v>Maplink3</v>
      </c>
    </row>
    <row r="202" spans="1:48" x14ac:dyDescent="0.25">
      <c r="A202" s="9">
        <v>26075</v>
      </c>
      <c r="B202" s="10" t="s">
        <v>13</v>
      </c>
      <c r="C202" s="10" t="s">
        <v>465</v>
      </c>
      <c r="D202" s="10" t="s">
        <v>477</v>
      </c>
      <c r="E202" s="10" t="s">
        <v>478</v>
      </c>
      <c r="F202" s="10">
        <v>34.073537000000002</v>
      </c>
      <c r="G202" s="10">
        <v>44.905830000000002</v>
      </c>
      <c r="H202" s="11">
        <v>200</v>
      </c>
      <c r="I202" s="11">
        <v>1200</v>
      </c>
      <c r="J202" s="11"/>
      <c r="K202" s="11"/>
      <c r="L202" s="11"/>
      <c r="M202" s="11"/>
      <c r="N202" s="11"/>
      <c r="O202" s="11">
        <v>200</v>
      </c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>
        <v>200</v>
      </c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>
        <v>200</v>
      </c>
      <c r="AO202" s="11"/>
      <c r="AP202" s="11"/>
      <c r="AQ202" s="11"/>
      <c r="AR202" s="11"/>
      <c r="AS202" s="11"/>
      <c r="AT202" s="20" t="str">
        <f>HYPERLINK("http://www.openstreetmap.org/?mlat=34.0735&amp;mlon=44.9058&amp;zoom=12#map=12/34.0735/44.9058","Maplink1")</f>
        <v>Maplink1</v>
      </c>
      <c r="AU202" s="20" t="str">
        <f>HYPERLINK("https://www.google.iq/maps/search/+34.0735,44.9058/@34.0735,44.9058,14z?hl=en","Maplink2")</f>
        <v>Maplink2</v>
      </c>
      <c r="AV202" s="20" t="str">
        <f>HYPERLINK("http://www.bing.com/maps/?lvl=14&amp;sty=h&amp;cp=34.0735~44.9058&amp;sp=point.34.0735_44.9058","Maplink3")</f>
        <v>Maplink3</v>
      </c>
    </row>
    <row r="203" spans="1:48" x14ac:dyDescent="0.25">
      <c r="A203" s="9">
        <v>28469</v>
      </c>
      <c r="B203" s="10" t="s">
        <v>13</v>
      </c>
      <c r="C203" s="10" t="s">
        <v>465</v>
      </c>
      <c r="D203" s="10" t="s">
        <v>479</v>
      </c>
      <c r="E203" s="10" t="s">
        <v>480</v>
      </c>
      <c r="F203" s="10">
        <v>34.278477549999998</v>
      </c>
      <c r="G203" s="10">
        <v>44.562996480000002</v>
      </c>
      <c r="H203" s="11">
        <v>120</v>
      </c>
      <c r="I203" s="11">
        <v>720</v>
      </c>
      <c r="J203" s="11"/>
      <c r="K203" s="11"/>
      <c r="L203" s="11"/>
      <c r="M203" s="11"/>
      <c r="N203" s="11"/>
      <c r="O203" s="11">
        <v>92</v>
      </c>
      <c r="P203" s="11"/>
      <c r="Q203" s="11"/>
      <c r="R203" s="11">
        <v>28</v>
      </c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>
        <v>92</v>
      </c>
      <c r="AD203" s="11"/>
      <c r="AE203" s="11"/>
      <c r="AF203" s="11"/>
      <c r="AG203" s="11"/>
      <c r="AH203" s="11"/>
      <c r="AI203" s="11"/>
      <c r="AJ203" s="11"/>
      <c r="AK203" s="11">
        <v>28</v>
      </c>
      <c r="AL203" s="11"/>
      <c r="AM203" s="11"/>
      <c r="AN203" s="11">
        <v>120</v>
      </c>
      <c r="AO203" s="11"/>
      <c r="AP203" s="11"/>
      <c r="AQ203" s="11"/>
      <c r="AR203" s="11"/>
      <c r="AS203" s="11"/>
      <c r="AT203" s="20" t="str">
        <f>HYPERLINK("http://www.openstreetmap.org/?mlat=34.2785&amp;mlon=44.563&amp;zoom=12#map=12/34.2785/44.563","Maplink1")</f>
        <v>Maplink1</v>
      </c>
      <c r="AU203" s="20" t="str">
        <f>HYPERLINK("https://www.google.iq/maps/search/+34.2785,44.563/@34.2785,44.563,14z?hl=en","Maplink2")</f>
        <v>Maplink2</v>
      </c>
      <c r="AV203" s="20" t="str">
        <f>HYPERLINK("http://www.bing.com/maps/?lvl=14&amp;sty=h&amp;cp=34.2785~44.563&amp;sp=point.34.2785_44.563","Maplink3")</f>
        <v>Maplink3</v>
      </c>
    </row>
    <row r="204" spans="1:48" x14ac:dyDescent="0.25">
      <c r="A204" s="9">
        <v>21162</v>
      </c>
      <c r="B204" s="10" t="s">
        <v>13</v>
      </c>
      <c r="C204" s="10" t="s">
        <v>465</v>
      </c>
      <c r="D204" s="10" t="s">
        <v>481</v>
      </c>
      <c r="E204" s="10" t="s">
        <v>482</v>
      </c>
      <c r="F204" s="10">
        <v>34.216579070000002</v>
      </c>
      <c r="G204" s="10">
        <v>44.468902389999997</v>
      </c>
      <c r="H204" s="11">
        <v>34</v>
      </c>
      <c r="I204" s="11">
        <v>204</v>
      </c>
      <c r="J204" s="11"/>
      <c r="K204" s="11"/>
      <c r="L204" s="11"/>
      <c r="M204" s="11"/>
      <c r="N204" s="11"/>
      <c r="O204" s="11"/>
      <c r="P204" s="11"/>
      <c r="Q204" s="11"/>
      <c r="R204" s="11">
        <v>34</v>
      </c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>
        <v>34</v>
      </c>
      <c r="AE204" s="11"/>
      <c r="AF204" s="11"/>
      <c r="AG204" s="11"/>
      <c r="AH204" s="11"/>
      <c r="AI204" s="11"/>
      <c r="AJ204" s="11"/>
      <c r="AK204" s="11"/>
      <c r="AL204" s="11"/>
      <c r="AM204" s="11"/>
      <c r="AN204" s="11">
        <v>34</v>
      </c>
      <c r="AO204" s="11"/>
      <c r="AP204" s="11"/>
      <c r="AQ204" s="11"/>
      <c r="AR204" s="11"/>
      <c r="AS204" s="11"/>
      <c r="AT204" s="20" t="str">
        <f>HYPERLINK("http://www.openstreetmap.org/?mlat=34.2166&amp;mlon=44.4689&amp;zoom=12#map=12/34.2166/44.4689","Maplink1")</f>
        <v>Maplink1</v>
      </c>
      <c r="AU204" s="20" t="str">
        <f>HYPERLINK("https://www.google.iq/maps/search/+34.2166,44.4689/@34.2166,44.4689,14z?hl=en","Maplink2")</f>
        <v>Maplink2</v>
      </c>
      <c r="AV204" s="20" t="str">
        <f>HYPERLINK("http://www.bing.com/maps/?lvl=14&amp;sty=h&amp;cp=34.2166~44.4689&amp;sp=point.34.2166_44.4689","Maplink3")</f>
        <v>Maplink3</v>
      </c>
    </row>
    <row r="205" spans="1:48" x14ac:dyDescent="0.25">
      <c r="A205" s="9">
        <v>28445</v>
      </c>
      <c r="B205" s="10" t="s">
        <v>13</v>
      </c>
      <c r="C205" s="10" t="s">
        <v>465</v>
      </c>
      <c r="D205" s="10" t="s">
        <v>483</v>
      </c>
      <c r="E205" s="10" t="s">
        <v>484</v>
      </c>
      <c r="F205" s="10">
        <v>34.274324479999997</v>
      </c>
      <c r="G205" s="10">
        <v>44.538236470000001</v>
      </c>
      <c r="H205" s="11">
        <v>838</v>
      </c>
      <c r="I205" s="11">
        <v>5028</v>
      </c>
      <c r="J205" s="11"/>
      <c r="K205" s="11"/>
      <c r="L205" s="11"/>
      <c r="M205" s="11"/>
      <c r="N205" s="11"/>
      <c r="O205" s="11">
        <v>577</v>
      </c>
      <c r="P205" s="11"/>
      <c r="Q205" s="11"/>
      <c r="R205" s="11">
        <v>261</v>
      </c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>
        <v>838</v>
      </c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>
        <v>838</v>
      </c>
      <c r="AO205" s="11"/>
      <c r="AP205" s="11"/>
      <c r="AQ205" s="11"/>
      <c r="AR205" s="11"/>
      <c r="AS205" s="11"/>
      <c r="AT205" s="20" t="str">
        <f>HYPERLINK("http://www.openstreetmap.org/?mlat=34.2743&amp;mlon=44.5382&amp;zoom=12#map=12/34.2743/44.5382","Maplink1")</f>
        <v>Maplink1</v>
      </c>
      <c r="AU205" s="20" t="str">
        <f>HYPERLINK("https://www.google.iq/maps/search/+34.2743,44.5382/@34.2743,44.5382,14z?hl=en","Maplink2")</f>
        <v>Maplink2</v>
      </c>
      <c r="AV205" s="20" t="str">
        <f>HYPERLINK("http://www.bing.com/maps/?lvl=14&amp;sty=h&amp;cp=34.2743~44.5382&amp;sp=point.34.2743_44.5382","Maplink3")</f>
        <v>Maplink3</v>
      </c>
    </row>
    <row r="206" spans="1:48" x14ac:dyDescent="0.25">
      <c r="A206" s="9">
        <v>27177</v>
      </c>
      <c r="B206" s="10" t="s">
        <v>13</v>
      </c>
      <c r="C206" s="10" t="s">
        <v>465</v>
      </c>
      <c r="D206" s="10" t="s">
        <v>485</v>
      </c>
      <c r="E206" s="10" t="s">
        <v>486</v>
      </c>
      <c r="F206" s="10">
        <v>34.047741014800003</v>
      </c>
      <c r="G206" s="10">
        <v>44.391542998799999</v>
      </c>
      <c r="H206" s="11">
        <v>42</v>
      </c>
      <c r="I206" s="11">
        <v>252</v>
      </c>
      <c r="J206" s="11"/>
      <c r="K206" s="11"/>
      <c r="L206" s="11"/>
      <c r="M206" s="11"/>
      <c r="N206" s="11"/>
      <c r="O206" s="11"/>
      <c r="P206" s="11"/>
      <c r="Q206" s="11"/>
      <c r="R206" s="11">
        <v>42</v>
      </c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>
        <v>42</v>
      </c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>
        <v>42</v>
      </c>
      <c r="AO206" s="11"/>
      <c r="AP206" s="11"/>
      <c r="AQ206" s="11"/>
      <c r="AR206" s="11"/>
      <c r="AS206" s="11"/>
      <c r="AT206" s="20" t="str">
        <f>HYPERLINK("http://www.openstreetmap.org/?mlat=34.0477&amp;mlon=44.3915&amp;zoom=12#map=12/34.0477/44.3915","Maplink1")</f>
        <v>Maplink1</v>
      </c>
      <c r="AU206" s="20" t="str">
        <f>HYPERLINK("https://www.google.iq/maps/search/+34.0477,44.3915/@34.0477,44.3915,14z?hl=en","Maplink2")</f>
        <v>Maplink2</v>
      </c>
      <c r="AV206" s="20" t="str">
        <f>HYPERLINK("http://www.bing.com/maps/?lvl=14&amp;sty=h&amp;cp=34.0477~44.3915&amp;sp=point.34.0477_44.3915","Maplink3")</f>
        <v>Maplink3</v>
      </c>
    </row>
    <row r="207" spans="1:48" x14ac:dyDescent="0.25">
      <c r="A207" s="9">
        <v>21161</v>
      </c>
      <c r="B207" s="10" t="s">
        <v>13</v>
      </c>
      <c r="C207" s="10" t="s">
        <v>465</v>
      </c>
      <c r="D207" s="10" t="s">
        <v>487</v>
      </c>
      <c r="E207" s="10" t="s">
        <v>488</v>
      </c>
      <c r="F207" s="10">
        <v>34.219675264300001</v>
      </c>
      <c r="G207" s="10">
        <v>44.482852192099998</v>
      </c>
      <c r="H207" s="11">
        <v>125</v>
      </c>
      <c r="I207" s="11">
        <v>750</v>
      </c>
      <c r="J207" s="11"/>
      <c r="K207" s="11"/>
      <c r="L207" s="11"/>
      <c r="M207" s="11"/>
      <c r="N207" s="11"/>
      <c r="O207" s="11"/>
      <c r="P207" s="11"/>
      <c r="Q207" s="11"/>
      <c r="R207" s="11">
        <v>125</v>
      </c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>
        <v>125</v>
      </c>
      <c r="AE207" s="11"/>
      <c r="AF207" s="11"/>
      <c r="AG207" s="11"/>
      <c r="AH207" s="11"/>
      <c r="AI207" s="11"/>
      <c r="AJ207" s="11"/>
      <c r="AK207" s="11"/>
      <c r="AL207" s="11"/>
      <c r="AM207" s="11"/>
      <c r="AN207" s="11">
        <v>125</v>
      </c>
      <c r="AO207" s="11"/>
      <c r="AP207" s="11"/>
      <c r="AQ207" s="11"/>
      <c r="AR207" s="11"/>
      <c r="AS207" s="11"/>
      <c r="AT207" s="20" t="str">
        <f>HYPERLINK("http://www.openstreetmap.org/?mlat=34.2197&amp;mlon=44.4829&amp;zoom=12#map=12/34.2197/44.4829","Maplink1")</f>
        <v>Maplink1</v>
      </c>
      <c r="AU207" s="20" t="str">
        <f>HYPERLINK("https://www.google.iq/maps/search/+34.2197,44.4829/@34.2197,44.4829,14z?hl=en","Maplink2")</f>
        <v>Maplink2</v>
      </c>
      <c r="AV207" s="20" t="str">
        <f>HYPERLINK("http://www.bing.com/maps/?lvl=14&amp;sty=h&amp;cp=34.2197~44.4829&amp;sp=point.34.2197_44.4829","Maplink3")</f>
        <v>Maplink3</v>
      </c>
    </row>
    <row r="208" spans="1:48" x14ac:dyDescent="0.25">
      <c r="A208" s="9">
        <v>21223</v>
      </c>
      <c r="B208" s="10" t="s">
        <v>13</v>
      </c>
      <c r="C208" s="10" t="s">
        <v>465</v>
      </c>
      <c r="D208" s="10" t="s">
        <v>489</v>
      </c>
      <c r="E208" s="10" t="s">
        <v>490</v>
      </c>
      <c r="F208" s="10">
        <v>34.332530419999998</v>
      </c>
      <c r="G208" s="10">
        <v>44.558998269999996</v>
      </c>
      <c r="H208" s="11">
        <v>145</v>
      </c>
      <c r="I208" s="11">
        <v>870</v>
      </c>
      <c r="J208" s="11"/>
      <c r="K208" s="11"/>
      <c r="L208" s="11"/>
      <c r="M208" s="11"/>
      <c r="N208" s="11"/>
      <c r="O208" s="11">
        <v>140</v>
      </c>
      <c r="P208" s="11"/>
      <c r="Q208" s="11"/>
      <c r="R208" s="11">
        <v>5</v>
      </c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>
        <v>145</v>
      </c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>
        <v>145</v>
      </c>
      <c r="AO208" s="11"/>
      <c r="AP208" s="11"/>
      <c r="AQ208" s="11"/>
      <c r="AR208" s="11"/>
      <c r="AS208" s="11"/>
      <c r="AT208" s="20" t="str">
        <f>HYPERLINK("http://www.openstreetmap.org/?mlat=34.3325&amp;mlon=44.559&amp;zoom=12#map=12/34.3325/44.559","Maplink1")</f>
        <v>Maplink1</v>
      </c>
      <c r="AU208" s="20" t="str">
        <f>HYPERLINK("https://www.google.iq/maps/search/+34.3325,44.559/@34.3325,44.559,14z?hl=en","Maplink2")</f>
        <v>Maplink2</v>
      </c>
      <c r="AV208" s="20" t="str">
        <f>HYPERLINK("http://www.bing.com/maps/?lvl=14&amp;sty=h&amp;cp=34.3325~44.559&amp;sp=point.34.3325_44.559","Maplink3")</f>
        <v>Maplink3</v>
      </c>
    </row>
    <row r="209" spans="1:48" x14ac:dyDescent="0.25">
      <c r="A209" s="9">
        <v>25667</v>
      </c>
      <c r="B209" s="10" t="s">
        <v>13</v>
      </c>
      <c r="C209" s="10" t="s">
        <v>465</v>
      </c>
      <c r="D209" s="10" t="s">
        <v>491</v>
      </c>
      <c r="E209" s="10" t="s">
        <v>492</v>
      </c>
      <c r="F209" s="10">
        <v>34.086576999999998</v>
      </c>
      <c r="G209" s="10">
        <v>44.929876999999998</v>
      </c>
      <c r="H209" s="11">
        <v>317</v>
      </c>
      <c r="I209" s="11">
        <v>1902</v>
      </c>
      <c r="J209" s="11"/>
      <c r="K209" s="11"/>
      <c r="L209" s="11"/>
      <c r="M209" s="11"/>
      <c r="N209" s="11"/>
      <c r="O209" s="11">
        <v>267</v>
      </c>
      <c r="P209" s="11"/>
      <c r="Q209" s="11"/>
      <c r="R209" s="11">
        <v>50</v>
      </c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>
        <v>317</v>
      </c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>
        <v>317</v>
      </c>
      <c r="AO209" s="11"/>
      <c r="AP209" s="11"/>
      <c r="AQ209" s="11"/>
      <c r="AR209" s="11"/>
      <c r="AS209" s="11"/>
      <c r="AT209" s="20" t="str">
        <f>HYPERLINK("http://www.openstreetmap.org/?mlat=34.0866&amp;mlon=44.9299&amp;zoom=12#map=12/34.0866/44.9299","Maplink1")</f>
        <v>Maplink1</v>
      </c>
      <c r="AU209" s="20" t="str">
        <f>HYPERLINK("https://www.google.iq/maps/search/+34.0866,44.9299/@34.0866,44.9299,14z?hl=en","Maplink2")</f>
        <v>Maplink2</v>
      </c>
      <c r="AV209" s="20" t="str">
        <f>HYPERLINK("http://www.bing.com/maps/?lvl=14&amp;sty=h&amp;cp=34.0866~44.9299&amp;sp=point.34.0866_44.9299","Maplink3")</f>
        <v>Maplink3</v>
      </c>
    </row>
    <row r="210" spans="1:48" x14ac:dyDescent="0.25">
      <c r="A210" s="9">
        <v>25676</v>
      </c>
      <c r="B210" s="10" t="s">
        <v>13</v>
      </c>
      <c r="C210" s="10" t="s">
        <v>465</v>
      </c>
      <c r="D210" s="10" t="s">
        <v>493</v>
      </c>
      <c r="E210" s="10" t="s">
        <v>494</v>
      </c>
      <c r="F210" s="10">
        <v>34.031366407100002</v>
      </c>
      <c r="G210" s="10">
        <v>44.872524327900003</v>
      </c>
      <c r="H210" s="11">
        <v>150</v>
      </c>
      <c r="I210" s="11">
        <v>900</v>
      </c>
      <c r="J210" s="11"/>
      <c r="K210" s="11"/>
      <c r="L210" s="11"/>
      <c r="M210" s="11"/>
      <c r="N210" s="11"/>
      <c r="O210" s="11">
        <v>78</v>
      </c>
      <c r="P210" s="11"/>
      <c r="Q210" s="11"/>
      <c r="R210" s="11">
        <v>50</v>
      </c>
      <c r="S210" s="11"/>
      <c r="T210" s="11"/>
      <c r="U210" s="11"/>
      <c r="V210" s="11"/>
      <c r="W210" s="11"/>
      <c r="X210" s="11"/>
      <c r="Y210" s="11">
        <v>22</v>
      </c>
      <c r="Z210" s="11"/>
      <c r="AA210" s="11"/>
      <c r="AB210" s="11"/>
      <c r="AC210" s="11">
        <v>150</v>
      </c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>
        <v>150</v>
      </c>
      <c r="AQ210" s="11"/>
      <c r="AR210" s="11"/>
      <c r="AS210" s="11"/>
      <c r="AT210" s="20" t="str">
        <f>HYPERLINK("http://www.openstreetmap.org/?mlat=34.0314&amp;mlon=44.8725&amp;zoom=12#map=12/34.0314/44.8725","Maplink1")</f>
        <v>Maplink1</v>
      </c>
      <c r="AU210" s="20" t="str">
        <f>HYPERLINK("https://www.google.iq/maps/search/+34.0314,44.8725/@34.0314,44.8725,14z?hl=en","Maplink2")</f>
        <v>Maplink2</v>
      </c>
      <c r="AV210" s="20" t="str">
        <f>HYPERLINK("http://www.bing.com/maps/?lvl=14&amp;sty=h&amp;cp=34.0314~44.8725&amp;sp=point.34.0314_44.8725","Maplink3")</f>
        <v>Maplink3</v>
      </c>
    </row>
    <row r="211" spans="1:48" x14ac:dyDescent="0.25">
      <c r="A211" s="9">
        <v>25806</v>
      </c>
      <c r="B211" s="10" t="s">
        <v>13</v>
      </c>
      <c r="C211" s="10" t="s">
        <v>465</v>
      </c>
      <c r="D211" s="10" t="s">
        <v>495</v>
      </c>
      <c r="E211" s="10" t="s">
        <v>496</v>
      </c>
      <c r="F211" s="10">
        <v>34.054554723800003</v>
      </c>
      <c r="G211" s="10">
        <v>44.895280665000001</v>
      </c>
      <c r="H211" s="11">
        <v>28</v>
      </c>
      <c r="I211" s="11">
        <v>168</v>
      </c>
      <c r="J211" s="11"/>
      <c r="K211" s="11"/>
      <c r="L211" s="11"/>
      <c r="M211" s="11"/>
      <c r="N211" s="11"/>
      <c r="O211" s="11">
        <v>28</v>
      </c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>
        <v>28</v>
      </c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>
        <v>28</v>
      </c>
      <c r="AO211" s="11"/>
      <c r="AP211" s="11"/>
      <c r="AQ211" s="11"/>
      <c r="AR211" s="11"/>
      <c r="AS211" s="11"/>
      <c r="AT211" s="20" t="str">
        <f>HYPERLINK("http://www.openstreetmap.org/?mlat=34.0546&amp;mlon=44.8953&amp;zoom=12#map=12/34.0546/44.8953","Maplink1")</f>
        <v>Maplink1</v>
      </c>
      <c r="AU211" s="20" t="str">
        <f>HYPERLINK("https://www.google.iq/maps/search/+34.0546,44.8953/@34.0546,44.8953,14z?hl=en","Maplink2")</f>
        <v>Maplink2</v>
      </c>
      <c r="AV211" s="20" t="str">
        <f>HYPERLINK("http://www.bing.com/maps/?lvl=14&amp;sty=h&amp;cp=34.0546~44.8953&amp;sp=point.34.0546_44.8953","Maplink3")</f>
        <v>Maplink3</v>
      </c>
    </row>
    <row r="212" spans="1:48" x14ac:dyDescent="0.25">
      <c r="A212" s="9">
        <v>25665</v>
      </c>
      <c r="B212" s="10" t="s">
        <v>13</v>
      </c>
      <c r="C212" s="10" t="s">
        <v>465</v>
      </c>
      <c r="D212" s="10" t="s">
        <v>497</v>
      </c>
      <c r="E212" s="10" t="s">
        <v>498</v>
      </c>
      <c r="F212" s="10">
        <v>34.050199371300003</v>
      </c>
      <c r="G212" s="10">
        <v>44.783157392900002</v>
      </c>
      <c r="H212" s="11">
        <v>75</v>
      </c>
      <c r="I212" s="11">
        <v>450</v>
      </c>
      <c r="J212" s="11"/>
      <c r="K212" s="11"/>
      <c r="L212" s="11"/>
      <c r="M212" s="11"/>
      <c r="N212" s="11"/>
      <c r="O212" s="11">
        <v>75</v>
      </c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>
        <v>75</v>
      </c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>
        <v>75</v>
      </c>
      <c r="AO212" s="11"/>
      <c r="AP212" s="11"/>
      <c r="AQ212" s="11"/>
      <c r="AR212" s="11"/>
      <c r="AS212" s="11"/>
      <c r="AT212" s="20" t="str">
        <f>HYPERLINK("http://www.openstreetmap.org/?mlat=34.0502&amp;mlon=44.7832&amp;zoom=12#map=12/34.0502/44.7832","Maplink1")</f>
        <v>Maplink1</v>
      </c>
      <c r="AU212" s="20" t="str">
        <f>HYPERLINK("https://www.google.iq/maps/search/+34.0502,44.7832/@34.0502,44.7832,14z?hl=en","Maplink2")</f>
        <v>Maplink2</v>
      </c>
      <c r="AV212" s="20" t="str">
        <f>HYPERLINK("http://www.bing.com/maps/?lvl=14&amp;sty=h&amp;cp=34.0502~44.7832&amp;sp=point.34.0502_44.7832","Maplink3")</f>
        <v>Maplink3</v>
      </c>
    </row>
    <row r="213" spans="1:48" x14ac:dyDescent="0.25">
      <c r="A213" s="9">
        <v>25666</v>
      </c>
      <c r="B213" s="10" t="s">
        <v>13</v>
      </c>
      <c r="C213" s="10" t="s">
        <v>465</v>
      </c>
      <c r="D213" s="10" t="s">
        <v>499</v>
      </c>
      <c r="E213" s="10" t="s">
        <v>500</v>
      </c>
      <c r="F213" s="10">
        <v>34.067463302199997</v>
      </c>
      <c r="G213" s="10">
        <v>44.779014281000002</v>
      </c>
      <c r="H213" s="11">
        <v>72</v>
      </c>
      <c r="I213" s="11">
        <v>432</v>
      </c>
      <c r="J213" s="11"/>
      <c r="K213" s="11"/>
      <c r="L213" s="11"/>
      <c r="M213" s="11"/>
      <c r="N213" s="11"/>
      <c r="O213" s="11">
        <v>72</v>
      </c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>
        <v>72</v>
      </c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>
        <v>72</v>
      </c>
      <c r="AQ213" s="11"/>
      <c r="AR213" s="11"/>
      <c r="AS213" s="11"/>
      <c r="AT213" s="20" t="str">
        <f>HYPERLINK("http://www.openstreetmap.org/?mlat=34.0675&amp;mlon=44.779&amp;zoom=12#map=12/34.0675/44.779","Maplink1")</f>
        <v>Maplink1</v>
      </c>
      <c r="AU213" s="20" t="str">
        <f>HYPERLINK("https://www.google.iq/maps/search/+34.0675,44.779/@34.0675,44.779,14z?hl=en","Maplink2")</f>
        <v>Maplink2</v>
      </c>
      <c r="AV213" s="20" t="str">
        <f>HYPERLINK("http://www.bing.com/maps/?lvl=14&amp;sty=h&amp;cp=34.0675~44.779&amp;sp=point.34.0675_44.779","Maplink3")</f>
        <v>Maplink3</v>
      </c>
    </row>
    <row r="214" spans="1:48" x14ac:dyDescent="0.25">
      <c r="A214" s="9">
        <v>27165</v>
      </c>
      <c r="B214" s="10" t="s">
        <v>13</v>
      </c>
      <c r="C214" s="10" t="s">
        <v>465</v>
      </c>
      <c r="D214" s="10" t="s">
        <v>501</v>
      </c>
      <c r="E214" s="10" t="s">
        <v>502</v>
      </c>
      <c r="F214" s="10">
        <v>34.210737369999997</v>
      </c>
      <c r="G214" s="10">
        <v>44.52663381</v>
      </c>
      <c r="H214" s="11">
        <v>17</v>
      </c>
      <c r="I214" s="11">
        <v>102</v>
      </c>
      <c r="J214" s="11"/>
      <c r="K214" s="11"/>
      <c r="L214" s="11"/>
      <c r="M214" s="11"/>
      <c r="N214" s="11"/>
      <c r="O214" s="11"/>
      <c r="P214" s="11"/>
      <c r="Q214" s="11"/>
      <c r="R214" s="11">
        <v>17</v>
      </c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>
        <v>17</v>
      </c>
      <c r="AE214" s="11"/>
      <c r="AF214" s="11"/>
      <c r="AG214" s="11"/>
      <c r="AH214" s="11"/>
      <c r="AI214" s="11"/>
      <c r="AJ214" s="11"/>
      <c r="AK214" s="11"/>
      <c r="AL214" s="11"/>
      <c r="AM214" s="11"/>
      <c r="AN214" s="11">
        <v>17</v>
      </c>
      <c r="AO214" s="11"/>
      <c r="AP214" s="11"/>
      <c r="AQ214" s="11"/>
      <c r="AR214" s="11"/>
      <c r="AS214" s="11"/>
      <c r="AT214" s="20" t="str">
        <f>HYPERLINK("http://www.openstreetmap.org/?mlat=34.2107&amp;mlon=44.5266&amp;zoom=12#map=12/34.2107/44.5266","Maplink1")</f>
        <v>Maplink1</v>
      </c>
      <c r="AU214" s="20" t="str">
        <f>HYPERLINK("https://www.google.iq/maps/search/+34.2107,44.5266/@34.2107,44.5266,14z?hl=en","Maplink2")</f>
        <v>Maplink2</v>
      </c>
      <c r="AV214" s="20" t="str">
        <f>HYPERLINK("http://www.bing.com/maps/?lvl=14&amp;sty=h&amp;cp=34.2107~44.5266&amp;sp=point.34.2107_44.5266","Maplink3")</f>
        <v>Maplink3</v>
      </c>
    </row>
    <row r="215" spans="1:48" x14ac:dyDescent="0.25">
      <c r="A215" s="9">
        <v>27166</v>
      </c>
      <c r="B215" s="10" t="s">
        <v>13</v>
      </c>
      <c r="C215" s="10" t="s">
        <v>465</v>
      </c>
      <c r="D215" s="10" t="s">
        <v>503</v>
      </c>
      <c r="E215" s="10" t="s">
        <v>504</v>
      </c>
      <c r="F215" s="10">
        <v>34.1966137</v>
      </c>
      <c r="G215" s="10">
        <v>44.533133909999997</v>
      </c>
      <c r="H215" s="11">
        <v>22</v>
      </c>
      <c r="I215" s="11">
        <v>132</v>
      </c>
      <c r="J215" s="11"/>
      <c r="K215" s="11"/>
      <c r="L215" s="11"/>
      <c r="M215" s="11"/>
      <c r="N215" s="11"/>
      <c r="O215" s="11"/>
      <c r="P215" s="11"/>
      <c r="Q215" s="11"/>
      <c r="R215" s="11">
        <v>22</v>
      </c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>
        <v>22</v>
      </c>
      <c r="AE215" s="11"/>
      <c r="AF215" s="11"/>
      <c r="AG215" s="11"/>
      <c r="AH215" s="11"/>
      <c r="AI215" s="11"/>
      <c r="AJ215" s="11"/>
      <c r="AK215" s="11"/>
      <c r="AL215" s="11"/>
      <c r="AM215" s="11"/>
      <c r="AN215" s="11">
        <v>22</v>
      </c>
      <c r="AO215" s="11"/>
      <c r="AP215" s="11"/>
      <c r="AQ215" s="11"/>
      <c r="AR215" s="11"/>
      <c r="AS215" s="11"/>
      <c r="AT215" s="20" t="str">
        <f>HYPERLINK("http://www.openstreetmap.org/?mlat=34.1966&amp;mlon=44.5331&amp;zoom=12#map=12/34.1966/44.5331","Maplink1")</f>
        <v>Maplink1</v>
      </c>
      <c r="AU215" s="20" t="str">
        <f>HYPERLINK("https://www.google.iq/maps/search/+34.1966,44.5331/@34.1966,44.5331,14z?hl=en","Maplink2")</f>
        <v>Maplink2</v>
      </c>
      <c r="AV215" s="20" t="str">
        <f>HYPERLINK("http://www.bing.com/maps/?lvl=14&amp;sty=h&amp;cp=34.1966~44.5331&amp;sp=point.34.1966_44.5331","Maplink3")</f>
        <v>Maplink3</v>
      </c>
    </row>
    <row r="216" spans="1:48" x14ac:dyDescent="0.25">
      <c r="A216" s="9">
        <v>27181</v>
      </c>
      <c r="B216" s="10" t="s">
        <v>13</v>
      </c>
      <c r="C216" s="10" t="s">
        <v>465</v>
      </c>
      <c r="D216" s="10" t="s">
        <v>505</v>
      </c>
      <c r="E216" s="10" t="s">
        <v>506</v>
      </c>
      <c r="F216" s="10">
        <v>34.137664329899998</v>
      </c>
      <c r="G216" s="10">
        <v>44.4185541055</v>
      </c>
      <c r="H216" s="11">
        <v>20</v>
      </c>
      <c r="I216" s="11">
        <v>120</v>
      </c>
      <c r="J216" s="11"/>
      <c r="K216" s="11"/>
      <c r="L216" s="11"/>
      <c r="M216" s="11"/>
      <c r="N216" s="11"/>
      <c r="O216" s="11"/>
      <c r="P216" s="11"/>
      <c r="Q216" s="11"/>
      <c r="R216" s="11">
        <v>20</v>
      </c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>
        <v>20</v>
      </c>
      <c r="AE216" s="11"/>
      <c r="AF216" s="11"/>
      <c r="AG216" s="11"/>
      <c r="AH216" s="11"/>
      <c r="AI216" s="11"/>
      <c r="AJ216" s="11"/>
      <c r="AK216" s="11"/>
      <c r="AL216" s="11"/>
      <c r="AM216" s="11"/>
      <c r="AN216" s="11">
        <v>20</v>
      </c>
      <c r="AO216" s="11"/>
      <c r="AP216" s="11"/>
      <c r="AQ216" s="11"/>
      <c r="AR216" s="11"/>
      <c r="AS216" s="11"/>
      <c r="AT216" s="20" t="str">
        <f>HYPERLINK("http://www.openstreetmap.org/?mlat=34.1377&amp;mlon=44.4186&amp;zoom=12#map=12/34.1377/44.4186","Maplink1")</f>
        <v>Maplink1</v>
      </c>
      <c r="AU216" s="20" t="str">
        <f>HYPERLINK("https://www.google.iq/maps/search/+34.1377,44.4186/@34.1377,44.4186,14z?hl=en","Maplink2")</f>
        <v>Maplink2</v>
      </c>
      <c r="AV216" s="20" t="str">
        <f>HYPERLINK("http://www.bing.com/maps/?lvl=14&amp;sty=h&amp;cp=34.1377~44.4186&amp;sp=point.34.1377_44.4186","Maplink3")</f>
        <v>Maplink3</v>
      </c>
    </row>
    <row r="217" spans="1:48" x14ac:dyDescent="0.25">
      <c r="A217" s="9">
        <v>26057</v>
      </c>
      <c r="B217" s="10" t="s">
        <v>13</v>
      </c>
      <c r="C217" s="10" t="s">
        <v>465</v>
      </c>
      <c r="D217" s="10" t="s">
        <v>507</v>
      </c>
      <c r="E217" s="10" t="s">
        <v>508</v>
      </c>
      <c r="F217" s="10">
        <v>34.079245159999999</v>
      </c>
      <c r="G217" s="10">
        <v>44.863570979999999</v>
      </c>
      <c r="H217" s="11">
        <v>37</v>
      </c>
      <c r="I217" s="11">
        <v>222</v>
      </c>
      <c r="J217" s="11"/>
      <c r="K217" s="11"/>
      <c r="L217" s="11"/>
      <c r="M217" s="11"/>
      <c r="N217" s="11"/>
      <c r="O217" s="11">
        <v>37</v>
      </c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>
        <v>37</v>
      </c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>
        <v>37</v>
      </c>
      <c r="AO217" s="11"/>
      <c r="AP217" s="11"/>
      <c r="AQ217" s="11"/>
      <c r="AR217" s="11"/>
      <c r="AS217" s="11"/>
      <c r="AT217" s="20" t="str">
        <f>HYPERLINK("http://www.openstreetmap.org/?mlat=34.0792&amp;mlon=44.8636&amp;zoom=12#map=12/34.0792/44.8636","Maplink1")</f>
        <v>Maplink1</v>
      </c>
      <c r="AU217" s="20" t="str">
        <f>HYPERLINK("https://www.google.iq/maps/search/+34.0792,44.8636/@34.0792,44.8636,14z?hl=en","Maplink2")</f>
        <v>Maplink2</v>
      </c>
      <c r="AV217" s="20" t="str">
        <f>HYPERLINK("http://www.bing.com/maps/?lvl=14&amp;sty=h&amp;cp=34.0792~44.8636&amp;sp=point.34.0792_44.8636","Maplink3")</f>
        <v>Maplink3</v>
      </c>
    </row>
    <row r="218" spans="1:48" x14ac:dyDescent="0.25">
      <c r="A218" s="9">
        <v>25661</v>
      </c>
      <c r="B218" s="10" t="s">
        <v>13</v>
      </c>
      <c r="C218" s="10" t="s">
        <v>465</v>
      </c>
      <c r="D218" s="10" t="s">
        <v>509</v>
      </c>
      <c r="E218" s="10" t="s">
        <v>510</v>
      </c>
      <c r="F218" s="10">
        <v>34.085930480000002</v>
      </c>
      <c r="G218" s="10">
        <v>44.72657487</v>
      </c>
      <c r="H218" s="11">
        <v>230</v>
      </c>
      <c r="I218" s="11">
        <v>1380</v>
      </c>
      <c r="J218" s="11"/>
      <c r="K218" s="11"/>
      <c r="L218" s="11"/>
      <c r="M218" s="11"/>
      <c r="N218" s="11"/>
      <c r="O218" s="11">
        <v>230</v>
      </c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>
        <v>230</v>
      </c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>
        <v>230</v>
      </c>
      <c r="AQ218" s="11"/>
      <c r="AR218" s="11"/>
      <c r="AS218" s="11"/>
      <c r="AT218" s="20" t="str">
        <f>HYPERLINK("http://www.openstreetmap.org/?mlat=34.0859&amp;mlon=44.7266&amp;zoom=12#map=12/34.0859/44.7266","Maplink1")</f>
        <v>Maplink1</v>
      </c>
      <c r="AU218" s="20" t="str">
        <f>HYPERLINK("https://www.google.iq/maps/search/+34.0859,44.7266/@34.0859,44.7266,14z?hl=en","Maplink2")</f>
        <v>Maplink2</v>
      </c>
      <c r="AV218" s="20" t="str">
        <f>HYPERLINK("http://www.bing.com/maps/?lvl=14&amp;sty=h&amp;cp=34.0859~44.7266&amp;sp=point.34.0859_44.7266","Maplink3")</f>
        <v>Maplink3</v>
      </c>
    </row>
    <row r="219" spans="1:48" x14ac:dyDescent="0.25">
      <c r="A219" s="9">
        <v>27158</v>
      </c>
      <c r="B219" s="10" t="s">
        <v>13</v>
      </c>
      <c r="C219" s="10" t="s">
        <v>465</v>
      </c>
      <c r="D219" s="10" t="s">
        <v>511</v>
      </c>
      <c r="E219" s="10" t="s">
        <v>512</v>
      </c>
      <c r="F219" s="10">
        <v>34.324035248199998</v>
      </c>
      <c r="G219" s="10">
        <v>44.725879265800003</v>
      </c>
      <c r="H219" s="11">
        <v>75</v>
      </c>
      <c r="I219" s="11">
        <v>450</v>
      </c>
      <c r="J219" s="11"/>
      <c r="K219" s="11"/>
      <c r="L219" s="11"/>
      <c r="M219" s="11"/>
      <c r="N219" s="11"/>
      <c r="O219" s="11"/>
      <c r="P219" s="11"/>
      <c r="Q219" s="11"/>
      <c r="R219" s="11">
        <v>75</v>
      </c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>
        <v>75</v>
      </c>
      <c r="AE219" s="11"/>
      <c r="AF219" s="11"/>
      <c r="AG219" s="11"/>
      <c r="AH219" s="11"/>
      <c r="AI219" s="11"/>
      <c r="AJ219" s="11"/>
      <c r="AK219" s="11"/>
      <c r="AL219" s="11"/>
      <c r="AM219" s="11"/>
      <c r="AN219" s="11">
        <v>75</v>
      </c>
      <c r="AO219" s="11"/>
      <c r="AP219" s="11"/>
      <c r="AQ219" s="11"/>
      <c r="AR219" s="11"/>
      <c r="AS219" s="11"/>
      <c r="AT219" s="20" t="str">
        <f>HYPERLINK("http://www.openstreetmap.org/?mlat=34.324&amp;mlon=44.7259&amp;zoom=12#map=12/34.324/44.7259","Maplink1")</f>
        <v>Maplink1</v>
      </c>
      <c r="AU219" s="20" t="str">
        <f>HYPERLINK("https://www.google.iq/maps/search/+34.324,44.7259/@34.324,44.7259,14z?hl=en","Maplink2")</f>
        <v>Maplink2</v>
      </c>
      <c r="AV219" s="20" t="str">
        <f>HYPERLINK("http://www.bing.com/maps/?lvl=14&amp;sty=h&amp;cp=34.324~44.7259&amp;sp=point.34.324_44.7259","Maplink3")</f>
        <v>Maplink3</v>
      </c>
    </row>
    <row r="220" spans="1:48" x14ac:dyDescent="0.25">
      <c r="A220" s="9">
        <v>27159</v>
      </c>
      <c r="B220" s="10" t="s">
        <v>13</v>
      </c>
      <c r="C220" s="10" t="s">
        <v>465</v>
      </c>
      <c r="D220" s="10" t="s">
        <v>513</v>
      </c>
      <c r="E220" s="10" t="s">
        <v>514</v>
      </c>
      <c r="F220" s="10">
        <v>34.326905563300002</v>
      </c>
      <c r="G220" s="10">
        <v>44.719431512600003</v>
      </c>
      <c r="H220" s="11">
        <v>35</v>
      </c>
      <c r="I220" s="11">
        <v>210</v>
      </c>
      <c r="J220" s="11"/>
      <c r="K220" s="11"/>
      <c r="L220" s="11"/>
      <c r="M220" s="11"/>
      <c r="N220" s="11"/>
      <c r="O220" s="11"/>
      <c r="P220" s="11"/>
      <c r="Q220" s="11"/>
      <c r="R220" s="11">
        <v>35</v>
      </c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>
        <v>35</v>
      </c>
      <c r="AE220" s="11"/>
      <c r="AF220" s="11"/>
      <c r="AG220" s="11"/>
      <c r="AH220" s="11"/>
      <c r="AI220" s="11"/>
      <c r="AJ220" s="11"/>
      <c r="AK220" s="11"/>
      <c r="AL220" s="11"/>
      <c r="AM220" s="11"/>
      <c r="AN220" s="11">
        <v>35</v>
      </c>
      <c r="AO220" s="11"/>
      <c r="AP220" s="11"/>
      <c r="AQ220" s="11"/>
      <c r="AR220" s="11"/>
      <c r="AS220" s="11"/>
      <c r="AT220" s="20" t="str">
        <f>HYPERLINK("http://www.openstreetmap.org/?mlat=34.3269&amp;mlon=44.7194&amp;zoom=12#map=12/34.3269/44.7194","Maplink1")</f>
        <v>Maplink1</v>
      </c>
      <c r="AU220" s="20" t="str">
        <f>HYPERLINK("https://www.google.iq/maps/search/+34.3269,44.7194/@34.3269,44.7194,14z?hl=en","Maplink2")</f>
        <v>Maplink2</v>
      </c>
      <c r="AV220" s="20" t="str">
        <f>HYPERLINK("http://www.bing.com/maps/?lvl=14&amp;sty=h&amp;cp=34.3269~44.7194&amp;sp=point.34.3269_44.7194","Maplink3")</f>
        <v>Maplink3</v>
      </c>
    </row>
    <row r="221" spans="1:48" x14ac:dyDescent="0.25">
      <c r="A221" s="9">
        <v>11204</v>
      </c>
      <c r="B221" s="10" t="s">
        <v>13</v>
      </c>
      <c r="C221" s="10" t="s">
        <v>465</v>
      </c>
      <c r="D221" s="10" t="s">
        <v>515</v>
      </c>
      <c r="E221" s="10" t="s">
        <v>516</v>
      </c>
      <c r="F221" s="10">
        <v>34.268907679999998</v>
      </c>
      <c r="G221" s="10">
        <v>44.537397599999998</v>
      </c>
      <c r="H221" s="11">
        <v>72</v>
      </c>
      <c r="I221" s="11">
        <v>432</v>
      </c>
      <c r="J221" s="11"/>
      <c r="K221" s="11"/>
      <c r="L221" s="11"/>
      <c r="M221" s="11"/>
      <c r="N221" s="11"/>
      <c r="O221" s="11">
        <v>28</v>
      </c>
      <c r="P221" s="11"/>
      <c r="Q221" s="11"/>
      <c r="R221" s="11">
        <v>42</v>
      </c>
      <c r="S221" s="11"/>
      <c r="T221" s="11"/>
      <c r="U221" s="11"/>
      <c r="V221" s="11"/>
      <c r="W221" s="11"/>
      <c r="X221" s="11"/>
      <c r="Y221" s="11">
        <v>2</v>
      </c>
      <c r="Z221" s="11"/>
      <c r="AA221" s="11"/>
      <c r="AB221" s="11"/>
      <c r="AC221" s="11">
        <v>72</v>
      </c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>
        <v>72</v>
      </c>
      <c r="AO221" s="11"/>
      <c r="AP221" s="11"/>
      <c r="AQ221" s="11"/>
      <c r="AR221" s="11"/>
      <c r="AS221" s="11"/>
      <c r="AT221" s="20" t="str">
        <f>HYPERLINK("http://www.openstreetmap.org/?mlat=34.2689&amp;mlon=44.5374&amp;zoom=12#map=12/34.2689/44.5374","Maplink1")</f>
        <v>Maplink1</v>
      </c>
      <c r="AU221" s="20" t="str">
        <f>HYPERLINK("https://www.google.iq/maps/search/+34.2689,44.5374/@34.2689,44.5374,14z?hl=en","Maplink2")</f>
        <v>Maplink2</v>
      </c>
      <c r="AV221" s="20" t="str">
        <f>HYPERLINK("http://www.bing.com/maps/?lvl=14&amp;sty=h&amp;cp=34.2689~44.5374&amp;sp=point.34.2689_44.5374","Maplink3")</f>
        <v>Maplink3</v>
      </c>
    </row>
    <row r="222" spans="1:48" x14ac:dyDescent="0.25">
      <c r="A222" s="9">
        <v>29562</v>
      </c>
      <c r="B222" s="10" t="s">
        <v>13</v>
      </c>
      <c r="C222" s="10" t="s">
        <v>465</v>
      </c>
      <c r="D222" s="10" t="s">
        <v>517</v>
      </c>
      <c r="E222" s="10" t="s">
        <v>518</v>
      </c>
      <c r="F222" s="10">
        <v>34.280893118900003</v>
      </c>
      <c r="G222" s="10">
        <v>44.532462995099998</v>
      </c>
      <c r="H222" s="11">
        <v>15</v>
      </c>
      <c r="I222" s="11">
        <v>90</v>
      </c>
      <c r="J222" s="11"/>
      <c r="K222" s="11"/>
      <c r="L222" s="11"/>
      <c r="M222" s="11"/>
      <c r="N222" s="11"/>
      <c r="O222" s="11">
        <v>15</v>
      </c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>
        <v>15</v>
      </c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>
        <v>15</v>
      </c>
      <c r="AO222" s="11"/>
      <c r="AP222" s="11"/>
      <c r="AQ222" s="11"/>
      <c r="AR222" s="11"/>
      <c r="AS222" s="11"/>
      <c r="AT222" s="20" t="str">
        <f>HYPERLINK("http://www.openstreetmap.org/?mlat=34.2809&amp;mlon=44.5325&amp;zoom=12#map=12/34.2809/44.5325","Maplink1")</f>
        <v>Maplink1</v>
      </c>
      <c r="AU222" s="20" t="str">
        <f>HYPERLINK("https://www.google.iq/maps/search/+34.2809,44.5325/@34.2809,44.5325,14z?hl=en","Maplink2")</f>
        <v>Maplink2</v>
      </c>
      <c r="AV222" s="20" t="str">
        <f>HYPERLINK("http://www.bing.com/maps/?lvl=14&amp;sty=h&amp;cp=34.2809~44.5325&amp;sp=point.34.2809_44.5325","Maplink3")</f>
        <v>Maplink3</v>
      </c>
    </row>
    <row r="223" spans="1:48" x14ac:dyDescent="0.25">
      <c r="A223" s="9">
        <v>26058</v>
      </c>
      <c r="B223" s="10" t="s">
        <v>13</v>
      </c>
      <c r="C223" s="10" t="s">
        <v>465</v>
      </c>
      <c r="D223" s="10" t="s">
        <v>311</v>
      </c>
      <c r="E223" s="10" t="s">
        <v>182</v>
      </c>
      <c r="F223" s="10">
        <v>34.067715870000001</v>
      </c>
      <c r="G223" s="10">
        <v>44.865601130000002</v>
      </c>
      <c r="H223" s="11">
        <v>271</v>
      </c>
      <c r="I223" s="11">
        <v>1626</v>
      </c>
      <c r="J223" s="11"/>
      <c r="K223" s="11"/>
      <c r="L223" s="11"/>
      <c r="M223" s="11"/>
      <c r="N223" s="11"/>
      <c r="O223" s="11">
        <v>244</v>
      </c>
      <c r="P223" s="11"/>
      <c r="Q223" s="11"/>
      <c r="R223" s="11">
        <v>17</v>
      </c>
      <c r="S223" s="11"/>
      <c r="T223" s="11"/>
      <c r="U223" s="11"/>
      <c r="V223" s="11"/>
      <c r="W223" s="11"/>
      <c r="X223" s="11"/>
      <c r="Y223" s="11">
        <v>10</v>
      </c>
      <c r="Z223" s="11"/>
      <c r="AA223" s="11"/>
      <c r="AB223" s="11"/>
      <c r="AC223" s="11">
        <v>271</v>
      </c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>
        <v>271</v>
      </c>
      <c r="AO223" s="11"/>
      <c r="AP223" s="11"/>
      <c r="AQ223" s="11"/>
      <c r="AR223" s="11"/>
      <c r="AS223" s="11"/>
      <c r="AT223" s="20" t="str">
        <f>HYPERLINK("http://www.openstreetmap.org/?mlat=34.0677&amp;mlon=44.8656&amp;zoom=12#map=12/34.0677/44.8656","Maplink1")</f>
        <v>Maplink1</v>
      </c>
      <c r="AU223" s="20" t="str">
        <f>HYPERLINK("https://www.google.iq/maps/search/+34.0677,44.8656/@34.0677,44.8656,14z?hl=en","Maplink2")</f>
        <v>Maplink2</v>
      </c>
      <c r="AV223" s="20" t="str">
        <f>HYPERLINK("http://www.bing.com/maps/?lvl=14&amp;sty=h&amp;cp=34.0677~44.8656&amp;sp=point.34.0677_44.8656","Maplink3")</f>
        <v>Maplink3</v>
      </c>
    </row>
    <row r="224" spans="1:48" x14ac:dyDescent="0.25">
      <c r="A224" s="9">
        <v>28463</v>
      </c>
      <c r="B224" s="10" t="s">
        <v>13</v>
      </c>
      <c r="C224" s="10" t="s">
        <v>465</v>
      </c>
      <c r="D224" s="10" t="s">
        <v>519</v>
      </c>
      <c r="E224" s="10" t="s">
        <v>520</v>
      </c>
      <c r="F224" s="10">
        <v>34.256853977299997</v>
      </c>
      <c r="G224" s="10">
        <v>44.526214580400001</v>
      </c>
      <c r="H224" s="11">
        <v>84</v>
      </c>
      <c r="I224" s="11">
        <v>504</v>
      </c>
      <c r="J224" s="11"/>
      <c r="K224" s="11"/>
      <c r="L224" s="11"/>
      <c r="M224" s="11"/>
      <c r="N224" s="11"/>
      <c r="O224" s="11">
        <v>69</v>
      </c>
      <c r="P224" s="11"/>
      <c r="Q224" s="11"/>
      <c r="R224" s="11">
        <v>15</v>
      </c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>
        <v>84</v>
      </c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>
        <v>84</v>
      </c>
      <c r="AO224" s="11"/>
      <c r="AP224" s="11"/>
      <c r="AQ224" s="11"/>
      <c r="AR224" s="11"/>
      <c r="AS224" s="11"/>
      <c r="AT224" s="20" t="str">
        <f>HYPERLINK("http://www.openstreetmap.org/?mlat=34.2569&amp;mlon=44.5262&amp;zoom=12#map=12/34.2569/44.5262","Maplink1")</f>
        <v>Maplink1</v>
      </c>
      <c r="AU224" s="20" t="str">
        <f>HYPERLINK("https://www.google.iq/maps/search/+34.2569,44.5262/@34.2569,44.5262,14z?hl=en","Maplink2")</f>
        <v>Maplink2</v>
      </c>
      <c r="AV224" s="20" t="str">
        <f>HYPERLINK("http://www.bing.com/maps/?lvl=14&amp;sty=h&amp;cp=34.2569~44.5262&amp;sp=point.34.2569_44.5262","Maplink3")</f>
        <v>Maplink3</v>
      </c>
    </row>
    <row r="225" spans="1:48" x14ac:dyDescent="0.25">
      <c r="A225" s="9">
        <v>28462</v>
      </c>
      <c r="B225" s="10" t="s">
        <v>13</v>
      </c>
      <c r="C225" s="10" t="s">
        <v>465</v>
      </c>
      <c r="D225" s="10" t="s">
        <v>521</v>
      </c>
      <c r="E225" s="10" t="s">
        <v>522</v>
      </c>
      <c r="F225" s="10">
        <v>34.253451541899999</v>
      </c>
      <c r="G225" s="10">
        <v>44.525930832699999</v>
      </c>
      <c r="H225" s="11">
        <v>110</v>
      </c>
      <c r="I225" s="11">
        <v>660</v>
      </c>
      <c r="J225" s="11"/>
      <c r="K225" s="11"/>
      <c r="L225" s="11"/>
      <c r="M225" s="11"/>
      <c r="N225" s="11"/>
      <c r="O225" s="11">
        <v>85</v>
      </c>
      <c r="P225" s="11"/>
      <c r="Q225" s="11"/>
      <c r="R225" s="11">
        <v>25</v>
      </c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>
        <v>110</v>
      </c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>
        <v>110</v>
      </c>
      <c r="AO225" s="11"/>
      <c r="AP225" s="11"/>
      <c r="AQ225" s="11"/>
      <c r="AR225" s="11"/>
      <c r="AS225" s="11"/>
      <c r="AT225" s="20" t="str">
        <f>HYPERLINK("http://www.openstreetmap.org/?mlat=34.2535&amp;mlon=44.5259&amp;zoom=12#map=12/34.2535/44.5259","Maplink1")</f>
        <v>Maplink1</v>
      </c>
      <c r="AU225" s="20" t="str">
        <f>HYPERLINK("https://www.google.iq/maps/search/+34.2535,44.5259/@34.2535,44.5259,14z?hl=en","Maplink2")</f>
        <v>Maplink2</v>
      </c>
      <c r="AV225" s="20" t="str">
        <f>HYPERLINK("http://www.bing.com/maps/?lvl=14&amp;sty=h&amp;cp=34.2535~44.5259&amp;sp=point.34.2535_44.5259","Maplink3")</f>
        <v>Maplink3</v>
      </c>
    </row>
    <row r="226" spans="1:48" x14ac:dyDescent="0.25">
      <c r="A226" s="9">
        <v>27178</v>
      </c>
      <c r="B226" s="10" t="s">
        <v>13</v>
      </c>
      <c r="C226" s="10" t="s">
        <v>465</v>
      </c>
      <c r="D226" s="10" t="s">
        <v>523</v>
      </c>
      <c r="E226" s="10" t="s">
        <v>524</v>
      </c>
      <c r="F226" s="10">
        <v>34.034518274</v>
      </c>
      <c r="G226" s="10">
        <v>44.368935247800003</v>
      </c>
      <c r="H226" s="11">
        <v>30</v>
      </c>
      <c r="I226" s="11">
        <v>180</v>
      </c>
      <c r="J226" s="11"/>
      <c r="K226" s="11"/>
      <c r="L226" s="11"/>
      <c r="M226" s="11"/>
      <c r="N226" s="11"/>
      <c r="O226" s="11"/>
      <c r="P226" s="11"/>
      <c r="Q226" s="11"/>
      <c r="R226" s="11">
        <v>30</v>
      </c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>
        <v>30</v>
      </c>
      <c r="AE226" s="11"/>
      <c r="AF226" s="11"/>
      <c r="AG226" s="11"/>
      <c r="AH226" s="11"/>
      <c r="AI226" s="11"/>
      <c r="AJ226" s="11"/>
      <c r="AK226" s="11"/>
      <c r="AL226" s="11"/>
      <c r="AM226" s="11"/>
      <c r="AN226" s="11">
        <v>30</v>
      </c>
      <c r="AO226" s="11"/>
      <c r="AP226" s="11"/>
      <c r="AQ226" s="11"/>
      <c r="AR226" s="11"/>
      <c r="AS226" s="11"/>
      <c r="AT226" s="20" t="str">
        <f>HYPERLINK("http://www.openstreetmap.org/?mlat=34.0345&amp;mlon=44.3689&amp;zoom=12#map=12/34.0345/44.3689","Maplink1")</f>
        <v>Maplink1</v>
      </c>
      <c r="AU226" s="20" t="str">
        <f>HYPERLINK("https://www.google.iq/maps/search/+34.0345,44.3689/@34.0345,44.3689,14z?hl=en","Maplink2")</f>
        <v>Maplink2</v>
      </c>
      <c r="AV226" s="20" t="str">
        <f>HYPERLINK("http://www.bing.com/maps/?lvl=14&amp;sty=h&amp;cp=34.0345~44.3689&amp;sp=point.34.0345_44.3689","Maplink3")</f>
        <v>Maplink3</v>
      </c>
    </row>
    <row r="227" spans="1:48" x14ac:dyDescent="0.25">
      <c r="A227" s="9">
        <v>29563</v>
      </c>
      <c r="B227" s="10" t="s">
        <v>13</v>
      </c>
      <c r="C227" s="10" t="s">
        <v>465</v>
      </c>
      <c r="D227" s="10" t="s">
        <v>525</v>
      </c>
      <c r="E227" s="10" t="s">
        <v>526</v>
      </c>
      <c r="F227" s="10">
        <v>34.268471329299999</v>
      </c>
      <c r="G227" s="10">
        <v>44.538751337000001</v>
      </c>
      <c r="H227" s="11">
        <v>20</v>
      </c>
      <c r="I227" s="11">
        <v>120</v>
      </c>
      <c r="J227" s="11"/>
      <c r="K227" s="11"/>
      <c r="L227" s="11"/>
      <c r="M227" s="11"/>
      <c r="N227" s="11"/>
      <c r="O227" s="11">
        <v>20</v>
      </c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>
        <v>20</v>
      </c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>
        <v>20</v>
      </c>
      <c r="AO227" s="11"/>
      <c r="AP227" s="11"/>
      <c r="AQ227" s="11"/>
      <c r="AR227" s="11"/>
      <c r="AS227" s="11"/>
      <c r="AT227" s="20" t="str">
        <f>HYPERLINK("http://www.openstreetmap.org/?mlat=34.2685&amp;mlon=44.5388&amp;zoom=12#map=12/34.2685/44.5388","Maplink1")</f>
        <v>Maplink1</v>
      </c>
      <c r="AU227" s="20" t="str">
        <f>HYPERLINK("https://www.google.iq/maps/search/+34.2685,44.5388/@34.2685,44.5388,14z?hl=en","Maplink2")</f>
        <v>Maplink2</v>
      </c>
      <c r="AV227" s="20" t="str">
        <f>HYPERLINK("http://www.bing.com/maps/?lvl=14&amp;sty=h&amp;cp=34.2685~44.5388&amp;sp=point.34.2685_44.5388","Maplink3")</f>
        <v>Maplink3</v>
      </c>
    </row>
    <row r="228" spans="1:48" x14ac:dyDescent="0.25">
      <c r="A228" s="9">
        <v>28467</v>
      </c>
      <c r="B228" s="10" t="s">
        <v>13</v>
      </c>
      <c r="C228" s="10" t="s">
        <v>465</v>
      </c>
      <c r="D228" s="10" t="s">
        <v>527</v>
      </c>
      <c r="E228" s="10" t="s">
        <v>528</v>
      </c>
      <c r="F228" s="10">
        <v>34.3587597135</v>
      </c>
      <c r="G228" s="10">
        <v>44.553733577199999</v>
      </c>
      <c r="H228" s="11">
        <v>75</v>
      </c>
      <c r="I228" s="11">
        <v>450</v>
      </c>
      <c r="J228" s="11"/>
      <c r="K228" s="11"/>
      <c r="L228" s="11"/>
      <c r="M228" s="11"/>
      <c r="N228" s="11"/>
      <c r="O228" s="11">
        <v>70</v>
      </c>
      <c r="P228" s="11"/>
      <c r="Q228" s="11"/>
      <c r="R228" s="11">
        <v>5</v>
      </c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>
        <v>75</v>
      </c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>
        <v>75</v>
      </c>
      <c r="AO228" s="11"/>
      <c r="AP228" s="11"/>
      <c r="AQ228" s="11"/>
      <c r="AR228" s="11"/>
      <c r="AS228" s="11"/>
      <c r="AT228" s="20" t="str">
        <f>HYPERLINK("http://www.openstreetmap.org/?mlat=34.3588&amp;mlon=44.5537&amp;zoom=12#map=12/34.3588/44.5537","Maplink1")</f>
        <v>Maplink1</v>
      </c>
      <c r="AU228" s="20" t="str">
        <f>HYPERLINK("https://www.google.iq/maps/search/+34.3588,44.5537/@34.3588,44.5537,14z?hl=en","Maplink2")</f>
        <v>Maplink2</v>
      </c>
      <c r="AV228" s="20" t="str">
        <f>HYPERLINK("http://www.bing.com/maps/?lvl=14&amp;sty=h&amp;cp=34.3588~44.5537&amp;sp=point.34.3588_44.5537","Maplink3")</f>
        <v>Maplink3</v>
      </c>
    </row>
    <row r="229" spans="1:48" x14ac:dyDescent="0.25">
      <c r="A229" s="9">
        <v>29576</v>
      </c>
      <c r="B229" s="10" t="s">
        <v>13</v>
      </c>
      <c r="C229" s="10" t="s">
        <v>465</v>
      </c>
      <c r="D229" s="10" t="s">
        <v>529</v>
      </c>
      <c r="E229" s="10" t="s">
        <v>530</v>
      </c>
      <c r="F229" s="10">
        <v>34.361026108499999</v>
      </c>
      <c r="G229" s="10">
        <v>44.570649765600002</v>
      </c>
      <c r="H229" s="11">
        <v>145</v>
      </c>
      <c r="I229" s="11">
        <v>870</v>
      </c>
      <c r="J229" s="11"/>
      <c r="K229" s="11"/>
      <c r="L229" s="11"/>
      <c r="M229" s="11"/>
      <c r="N229" s="11"/>
      <c r="O229" s="11"/>
      <c r="P229" s="11">
        <v>15</v>
      </c>
      <c r="Q229" s="11"/>
      <c r="R229" s="11">
        <v>105</v>
      </c>
      <c r="S229" s="11"/>
      <c r="T229" s="11"/>
      <c r="U229" s="11"/>
      <c r="V229" s="11"/>
      <c r="W229" s="11"/>
      <c r="X229" s="11"/>
      <c r="Y229" s="11">
        <v>25</v>
      </c>
      <c r="Z229" s="11"/>
      <c r="AA229" s="11"/>
      <c r="AB229" s="11"/>
      <c r="AC229" s="11">
        <v>145</v>
      </c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>
        <v>145</v>
      </c>
      <c r="AO229" s="11"/>
      <c r="AP229" s="11"/>
      <c r="AQ229" s="11"/>
      <c r="AR229" s="11"/>
      <c r="AS229" s="11"/>
      <c r="AT229" s="20" t="str">
        <f>HYPERLINK("http://www.openstreetmap.org/?mlat=34.361&amp;mlon=44.5706&amp;zoom=12#map=12/34.361/44.5706","Maplink1")</f>
        <v>Maplink1</v>
      </c>
      <c r="AU229" s="20" t="str">
        <f>HYPERLINK("https://www.google.iq/maps/search/+34.361,44.5706/@34.361,44.5706,14z?hl=en","Maplink2")</f>
        <v>Maplink2</v>
      </c>
      <c r="AV229" s="20" t="str">
        <f>HYPERLINK("http://www.bing.com/maps/?lvl=14&amp;sty=h&amp;cp=34.361~44.5706&amp;sp=point.34.361_44.5706","Maplink3")</f>
        <v>Maplink3</v>
      </c>
    </row>
    <row r="230" spans="1:48" x14ac:dyDescent="0.25">
      <c r="A230" s="9">
        <v>27164</v>
      </c>
      <c r="B230" s="10" t="s">
        <v>13</v>
      </c>
      <c r="C230" s="10" t="s">
        <v>465</v>
      </c>
      <c r="D230" s="10" t="s">
        <v>531</v>
      </c>
      <c r="E230" s="10" t="s">
        <v>532</v>
      </c>
      <c r="F230" s="10">
        <v>34.33645379</v>
      </c>
      <c r="G230" s="10">
        <v>44.638700579999998</v>
      </c>
      <c r="H230" s="11">
        <v>10</v>
      </c>
      <c r="I230" s="11">
        <v>60</v>
      </c>
      <c r="J230" s="11"/>
      <c r="K230" s="11"/>
      <c r="L230" s="11"/>
      <c r="M230" s="11"/>
      <c r="N230" s="11"/>
      <c r="O230" s="11"/>
      <c r="P230" s="11"/>
      <c r="Q230" s="11"/>
      <c r="R230" s="11">
        <v>10</v>
      </c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>
        <v>10</v>
      </c>
      <c r="AE230" s="11"/>
      <c r="AF230" s="11"/>
      <c r="AG230" s="11"/>
      <c r="AH230" s="11"/>
      <c r="AI230" s="11"/>
      <c r="AJ230" s="11"/>
      <c r="AK230" s="11"/>
      <c r="AL230" s="11"/>
      <c r="AM230" s="11"/>
      <c r="AN230" s="11">
        <v>10</v>
      </c>
      <c r="AO230" s="11"/>
      <c r="AP230" s="11"/>
      <c r="AQ230" s="11"/>
      <c r="AR230" s="11"/>
      <c r="AS230" s="11"/>
      <c r="AT230" s="20" t="str">
        <f>HYPERLINK("http://www.openstreetmap.org/?mlat=34.3365&amp;mlon=44.6387&amp;zoom=12#map=12/34.3365/44.6387","Maplink1")</f>
        <v>Maplink1</v>
      </c>
      <c r="AU230" s="20" t="str">
        <f>HYPERLINK("https://www.google.iq/maps/search/+34.3365,44.6387/@34.3365,44.6387,14z?hl=en","Maplink2")</f>
        <v>Maplink2</v>
      </c>
      <c r="AV230" s="20" t="str">
        <f>HYPERLINK("http://www.bing.com/maps/?lvl=14&amp;sty=h&amp;cp=34.3365~44.6387&amp;sp=point.34.3365_44.6387","Maplink3")</f>
        <v>Maplink3</v>
      </c>
    </row>
    <row r="231" spans="1:48" x14ac:dyDescent="0.25">
      <c r="A231" s="9">
        <v>27163</v>
      </c>
      <c r="B231" s="10" t="s">
        <v>13</v>
      </c>
      <c r="C231" s="10" t="s">
        <v>465</v>
      </c>
      <c r="D231" s="10" t="s">
        <v>533</v>
      </c>
      <c r="E231" s="10" t="s">
        <v>534</v>
      </c>
      <c r="F231" s="10">
        <v>34.365303620399999</v>
      </c>
      <c r="G231" s="10">
        <v>44.631974494700003</v>
      </c>
      <c r="H231" s="11">
        <v>8</v>
      </c>
      <c r="I231" s="11">
        <v>48</v>
      </c>
      <c r="J231" s="11"/>
      <c r="K231" s="11"/>
      <c r="L231" s="11"/>
      <c r="M231" s="11"/>
      <c r="N231" s="11"/>
      <c r="O231" s="11"/>
      <c r="P231" s="11"/>
      <c r="Q231" s="11"/>
      <c r="R231" s="11">
        <v>8</v>
      </c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>
        <v>8</v>
      </c>
      <c r="AE231" s="11"/>
      <c r="AF231" s="11"/>
      <c r="AG231" s="11"/>
      <c r="AH231" s="11"/>
      <c r="AI231" s="11"/>
      <c r="AJ231" s="11"/>
      <c r="AK231" s="11"/>
      <c r="AL231" s="11"/>
      <c r="AM231" s="11"/>
      <c r="AN231" s="11">
        <v>8</v>
      </c>
      <c r="AO231" s="11"/>
      <c r="AP231" s="11"/>
      <c r="AQ231" s="11"/>
      <c r="AR231" s="11"/>
      <c r="AS231" s="11"/>
      <c r="AT231" s="20" t="str">
        <f>HYPERLINK("http://www.openstreetmap.org/?mlat=34.3653&amp;mlon=44.632&amp;zoom=12#map=12/34.3653/44.632","Maplink1")</f>
        <v>Maplink1</v>
      </c>
      <c r="AU231" s="20" t="str">
        <f>HYPERLINK("https://www.google.iq/maps/search/+34.3653,44.632/@34.3653,44.632,14z?hl=en","Maplink2")</f>
        <v>Maplink2</v>
      </c>
      <c r="AV231" s="20" t="str">
        <f>HYPERLINK("http://www.bing.com/maps/?lvl=14&amp;sty=h&amp;cp=34.3653~44.632&amp;sp=point.34.3653_44.632","Maplink3")</f>
        <v>Maplink3</v>
      </c>
    </row>
    <row r="232" spans="1:48" x14ac:dyDescent="0.25">
      <c r="A232" s="9">
        <v>27173</v>
      </c>
      <c r="B232" s="10" t="s">
        <v>13</v>
      </c>
      <c r="C232" s="10" t="s">
        <v>465</v>
      </c>
      <c r="D232" s="10" t="s">
        <v>535</v>
      </c>
      <c r="E232" s="10" t="s">
        <v>536</v>
      </c>
      <c r="F232" s="10">
        <v>34.115016389200001</v>
      </c>
      <c r="G232" s="10">
        <v>44.413530827899997</v>
      </c>
      <c r="H232" s="11">
        <v>13</v>
      </c>
      <c r="I232" s="11">
        <v>78</v>
      </c>
      <c r="J232" s="11"/>
      <c r="K232" s="11"/>
      <c r="L232" s="11"/>
      <c r="M232" s="11"/>
      <c r="N232" s="11"/>
      <c r="O232" s="11"/>
      <c r="P232" s="11"/>
      <c r="Q232" s="11"/>
      <c r="R232" s="11">
        <v>13</v>
      </c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>
        <v>13</v>
      </c>
      <c r="AE232" s="11"/>
      <c r="AF232" s="11"/>
      <c r="AG232" s="11"/>
      <c r="AH232" s="11"/>
      <c r="AI232" s="11"/>
      <c r="AJ232" s="11"/>
      <c r="AK232" s="11"/>
      <c r="AL232" s="11"/>
      <c r="AM232" s="11"/>
      <c r="AN232" s="11">
        <v>13</v>
      </c>
      <c r="AO232" s="11"/>
      <c r="AP232" s="11"/>
      <c r="AQ232" s="11"/>
      <c r="AR232" s="11"/>
      <c r="AS232" s="11"/>
      <c r="AT232" s="20" t="str">
        <f>HYPERLINK("http://www.openstreetmap.org/?mlat=34.115&amp;mlon=44.4135&amp;zoom=12#map=12/34.115/44.4135","Maplink1")</f>
        <v>Maplink1</v>
      </c>
      <c r="AU232" s="20" t="str">
        <f>HYPERLINK("https://www.google.iq/maps/search/+34.115,44.4135/@34.115,44.4135,14z?hl=en","Maplink2")</f>
        <v>Maplink2</v>
      </c>
      <c r="AV232" s="20" t="str">
        <f>HYPERLINK("http://www.bing.com/maps/?lvl=14&amp;sty=h&amp;cp=34.115~44.4135&amp;sp=point.34.115_44.4135","Maplink3")</f>
        <v>Maplink3</v>
      </c>
    </row>
    <row r="233" spans="1:48" x14ac:dyDescent="0.25">
      <c r="A233" s="9">
        <v>29610</v>
      </c>
      <c r="B233" s="10" t="s">
        <v>13</v>
      </c>
      <c r="C233" s="10" t="s">
        <v>465</v>
      </c>
      <c r="D233" s="10" t="s">
        <v>537</v>
      </c>
      <c r="E233" s="10" t="s">
        <v>538</v>
      </c>
      <c r="F233" s="10">
        <v>34.511683087800002</v>
      </c>
      <c r="G233" s="10">
        <v>44.543146705700003</v>
      </c>
      <c r="H233" s="11">
        <v>106</v>
      </c>
      <c r="I233" s="11">
        <v>636</v>
      </c>
      <c r="J233" s="11"/>
      <c r="K233" s="11"/>
      <c r="L233" s="11"/>
      <c r="M233" s="11"/>
      <c r="N233" s="11"/>
      <c r="O233" s="11"/>
      <c r="P233" s="11"/>
      <c r="Q233" s="11"/>
      <c r="R233" s="11">
        <v>106</v>
      </c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>
        <v>106</v>
      </c>
      <c r="AH233" s="11"/>
      <c r="AI233" s="11"/>
      <c r="AJ233" s="11"/>
      <c r="AK233" s="11"/>
      <c r="AL233" s="11"/>
      <c r="AM233" s="11"/>
      <c r="AN233" s="11">
        <v>106</v>
      </c>
      <c r="AO233" s="11"/>
      <c r="AP233" s="11"/>
      <c r="AQ233" s="11"/>
      <c r="AR233" s="11"/>
      <c r="AS233" s="11"/>
      <c r="AT233" s="20" t="str">
        <f>HYPERLINK("http://www.openstreetmap.org/?mlat=34.5117&amp;mlon=44.5431&amp;zoom=12#map=12/34.5117/44.5431","Maplink1")</f>
        <v>Maplink1</v>
      </c>
      <c r="AU233" s="20" t="str">
        <f>HYPERLINK("https://www.google.iq/maps/search/+34.5117,44.5431/@34.5117,44.5431,14z?hl=en","Maplink2")</f>
        <v>Maplink2</v>
      </c>
      <c r="AV233" s="20" t="str">
        <f>HYPERLINK("http://www.bing.com/maps/?lvl=14&amp;sty=h&amp;cp=34.5117~44.5431&amp;sp=point.34.5117_44.5431","Maplink3")</f>
        <v>Maplink3</v>
      </c>
    </row>
    <row r="234" spans="1:48" x14ac:dyDescent="0.25">
      <c r="A234" s="9">
        <v>27172</v>
      </c>
      <c r="B234" s="10" t="s">
        <v>13</v>
      </c>
      <c r="C234" s="10" t="s">
        <v>465</v>
      </c>
      <c r="D234" s="10" t="s">
        <v>539</v>
      </c>
      <c r="E234" s="10" t="s">
        <v>540</v>
      </c>
      <c r="F234" s="10">
        <v>34.092379982799997</v>
      </c>
      <c r="G234" s="10">
        <v>44.421695073400002</v>
      </c>
      <c r="H234" s="11">
        <v>15</v>
      </c>
      <c r="I234" s="11">
        <v>90</v>
      </c>
      <c r="J234" s="11"/>
      <c r="K234" s="11"/>
      <c r="L234" s="11"/>
      <c r="M234" s="11"/>
      <c r="N234" s="11"/>
      <c r="O234" s="11"/>
      <c r="P234" s="11"/>
      <c r="Q234" s="11"/>
      <c r="R234" s="11">
        <v>15</v>
      </c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>
        <v>15</v>
      </c>
      <c r="AE234" s="11"/>
      <c r="AF234" s="11"/>
      <c r="AG234" s="11"/>
      <c r="AH234" s="11"/>
      <c r="AI234" s="11"/>
      <c r="AJ234" s="11"/>
      <c r="AK234" s="11"/>
      <c r="AL234" s="11"/>
      <c r="AM234" s="11"/>
      <c r="AN234" s="11">
        <v>15</v>
      </c>
      <c r="AO234" s="11"/>
      <c r="AP234" s="11"/>
      <c r="AQ234" s="11"/>
      <c r="AR234" s="11"/>
      <c r="AS234" s="11"/>
      <c r="AT234" s="20" t="str">
        <f>HYPERLINK("http://www.openstreetmap.org/?mlat=34.0924&amp;mlon=44.4217&amp;zoom=12#map=12/34.0924/44.4217","Maplink1")</f>
        <v>Maplink1</v>
      </c>
      <c r="AU234" s="20" t="str">
        <f>HYPERLINK("https://www.google.iq/maps/search/+34.0924,44.4217/@34.0924,44.4217,14z?hl=en","Maplink2")</f>
        <v>Maplink2</v>
      </c>
      <c r="AV234" s="20" t="str">
        <f>HYPERLINK("http://www.bing.com/maps/?lvl=14&amp;sty=h&amp;cp=34.0924~44.4217&amp;sp=point.34.0924_44.4217","Maplink3")</f>
        <v>Maplink3</v>
      </c>
    </row>
    <row r="235" spans="1:48" x14ac:dyDescent="0.25">
      <c r="A235" s="9">
        <v>29616</v>
      </c>
      <c r="B235" s="10" t="s">
        <v>13</v>
      </c>
      <c r="C235" s="10" t="s">
        <v>465</v>
      </c>
      <c r="D235" s="10" t="s">
        <v>541</v>
      </c>
      <c r="E235" s="10" t="s">
        <v>542</v>
      </c>
      <c r="F235" s="10">
        <v>34.375960848699997</v>
      </c>
      <c r="G235" s="10">
        <v>44.543801564500001</v>
      </c>
      <c r="H235" s="11">
        <v>26</v>
      </c>
      <c r="I235" s="11">
        <v>156</v>
      </c>
      <c r="J235" s="11"/>
      <c r="K235" s="11"/>
      <c r="L235" s="11"/>
      <c r="M235" s="11"/>
      <c r="N235" s="11"/>
      <c r="O235" s="11"/>
      <c r="P235" s="11"/>
      <c r="Q235" s="11"/>
      <c r="R235" s="11">
        <v>26</v>
      </c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>
        <v>26</v>
      </c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>
        <v>26</v>
      </c>
      <c r="AO235" s="11"/>
      <c r="AP235" s="11"/>
      <c r="AQ235" s="11"/>
      <c r="AR235" s="11"/>
      <c r="AS235" s="11"/>
      <c r="AT235" s="20" t="str">
        <f>HYPERLINK("http://www.openstreetmap.org/?mlat=34.376&amp;mlon=44.5438&amp;zoom=12#map=12/34.376/44.5438","Maplink1")</f>
        <v>Maplink1</v>
      </c>
      <c r="AU235" s="20" t="str">
        <f>HYPERLINK("https://www.google.iq/maps/search/+34.376,44.5438/@34.376,44.5438,14z?hl=en","Maplink2")</f>
        <v>Maplink2</v>
      </c>
      <c r="AV235" s="20" t="str">
        <f>HYPERLINK("http://www.bing.com/maps/?lvl=14&amp;sty=h&amp;cp=34.376~44.5438&amp;sp=point.34.376_44.5438","Maplink3")</f>
        <v>Maplink3</v>
      </c>
    </row>
    <row r="236" spans="1:48" x14ac:dyDescent="0.25">
      <c r="A236" s="9">
        <v>28466</v>
      </c>
      <c r="B236" s="10" t="s">
        <v>13</v>
      </c>
      <c r="C236" s="10" t="s">
        <v>465</v>
      </c>
      <c r="D236" s="10" t="s">
        <v>543</v>
      </c>
      <c r="E236" s="10" t="s">
        <v>544</v>
      </c>
      <c r="F236" s="10">
        <v>34.364307144500003</v>
      </c>
      <c r="G236" s="10">
        <v>44.560048106399996</v>
      </c>
      <c r="H236" s="11">
        <v>22</v>
      </c>
      <c r="I236" s="11">
        <v>132</v>
      </c>
      <c r="J236" s="11"/>
      <c r="K236" s="11"/>
      <c r="L236" s="11"/>
      <c r="M236" s="11"/>
      <c r="N236" s="11"/>
      <c r="O236" s="11">
        <v>22</v>
      </c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>
        <v>22</v>
      </c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>
        <v>22</v>
      </c>
      <c r="AO236" s="11"/>
      <c r="AP236" s="11"/>
      <c r="AQ236" s="11"/>
      <c r="AR236" s="11"/>
      <c r="AS236" s="11"/>
      <c r="AT236" s="20" t="str">
        <f>HYPERLINK("http://www.openstreetmap.org/?mlat=34.3643&amp;mlon=44.56&amp;zoom=12#map=12/34.3643/44.56","Maplink1")</f>
        <v>Maplink1</v>
      </c>
      <c r="AU236" s="20" t="str">
        <f>HYPERLINK("https://www.google.iq/maps/search/+34.3643,44.56/@34.3643,44.56,14z?hl=en","Maplink2")</f>
        <v>Maplink2</v>
      </c>
      <c r="AV236" s="20" t="str">
        <f>HYPERLINK("http://www.bing.com/maps/?lvl=14&amp;sty=h&amp;cp=34.3643~44.56&amp;sp=point.34.3643_44.56","Maplink3")</f>
        <v>Maplink3</v>
      </c>
    </row>
    <row r="237" spans="1:48" x14ac:dyDescent="0.25">
      <c r="A237" s="9">
        <v>28468</v>
      </c>
      <c r="B237" s="10" t="s">
        <v>13</v>
      </c>
      <c r="C237" s="10" t="s">
        <v>465</v>
      </c>
      <c r="D237" s="10" t="s">
        <v>545</v>
      </c>
      <c r="E237" s="10" t="s">
        <v>546</v>
      </c>
      <c r="F237" s="10">
        <v>34.288540455899998</v>
      </c>
      <c r="G237" s="10">
        <v>44.537187428599999</v>
      </c>
      <c r="H237" s="11">
        <v>31</v>
      </c>
      <c r="I237" s="11">
        <v>186</v>
      </c>
      <c r="J237" s="11"/>
      <c r="K237" s="11"/>
      <c r="L237" s="11"/>
      <c r="M237" s="11"/>
      <c r="N237" s="11"/>
      <c r="O237" s="11">
        <v>31</v>
      </c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>
        <v>31</v>
      </c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>
        <v>31</v>
      </c>
      <c r="AO237" s="11"/>
      <c r="AP237" s="11"/>
      <c r="AQ237" s="11"/>
      <c r="AR237" s="11"/>
      <c r="AS237" s="11"/>
      <c r="AT237" s="20" t="str">
        <f>HYPERLINK("http://www.openstreetmap.org/?mlat=34.2885&amp;mlon=44.5372&amp;zoom=12#map=12/34.2885/44.5372","Maplink1")</f>
        <v>Maplink1</v>
      </c>
      <c r="AU237" s="20" t="str">
        <f>HYPERLINK("https://www.google.iq/maps/search/+34.2885,44.5372/@34.2885,44.5372,14z?hl=en","Maplink2")</f>
        <v>Maplink2</v>
      </c>
      <c r="AV237" s="20" t="str">
        <f>HYPERLINK("http://www.bing.com/maps/?lvl=14&amp;sty=h&amp;cp=34.2885~44.5372&amp;sp=point.34.2885_44.5372","Maplink3")</f>
        <v>Maplink3</v>
      </c>
    </row>
    <row r="238" spans="1:48" x14ac:dyDescent="0.25">
      <c r="A238" s="9">
        <v>28464</v>
      </c>
      <c r="B238" s="10" t="s">
        <v>13</v>
      </c>
      <c r="C238" s="10" t="s">
        <v>465</v>
      </c>
      <c r="D238" s="10" t="s">
        <v>547</v>
      </c>
      <c r="E238" s="10" t="s">
        <v>548</v>
      </c>
      <c r="F238" s="10">
        <v>34.242244960000001</v>
      </c>
      <c r="G238" s="10">
        <v>44.190843000000001</v>
      </c>
      <c r="H238" s="11">
        <v>38</v>
      </c>
      <c r="I238" s="11">
        <v>228</v>
      </c>
      <c r="J238" s="11"/>
      <c r="K238" s="11"/>
      <c r="L238" s="11"/>
      <c r="M238" s="11"/>
      <c r="N238" s="11"/>
      <c r="O238" s="11">
        <v>38</v>
      </c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>
        <v>38</v>
      </c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>
        <v>38</v>
      </c>
      <c r="AO238" s="11"/>
      <c r="AP238" s="11"/>
      <c r="AQ238" s="11"/>
      <c r="AR238" s="11"/>
      <c r="AS238" s="11"/>
      <c r="AT238" s="20" t="str">
        <f>HYPERLINK("http://www.openstreetmap.org/?mlat=34.2422&amp;mlon=44.1908&amp;zoom=12#map=12/34.2422/44.1908","Maplink1")</f>
        <v>Maplink1</v>
      </c>
      <c r="AU238" s="20" t="str">
        <f>HYPERLINK("https://www.google.iq/maps/search/+34.2422,44.1908/@34.2422,44.1908,14z?hl=en","Maplink2")</f>
        <v>Maplink2</v>
      </c>
      <c r="AV238" s="20" t="str">
        <f>HYPERLINK("http://www.bing.com/maps/?lvl=14&amp;sty=h&amp;cp=34.2422~44.1908&amp;sp=point.34.2422_44.1908","Maplink3")</f>
        <v>Maplink3</v>
      </c>
    </row>
    <row r="239" spans="1:48" x14ac:dyDescent="0.25">
      <c r="A239" s="9">
        <v>27174</v>
      </c>
      <c r="B239" s="10" t="s">
        <v>13</v>
      </c>
      <c r="C239" s="10" t="s">
        <v>465</v>
      </c>
      <c r="D239" s="10" t="s">
        <v>549</v>
      </c>
      <c r="E239" s="10" t="s">
        <v>550</v>
      </c>
      <c r="F239" s="10">
        <v>34.040211939999999</v>
      </c>
      <c r="G239" s="10">
        <v>44.371946549999997</v>
      </c>
      <c r="H239" s="11">
        <v>140</v>
      </c>
      <c r="I239" s="11">
        <v>840</v>
      </c>
      <c r="J239" s="11"/>
      <c r="K239" s="11"/>
      <c r="L239" s="11"/>
      <c r="M239" s="11"/>
      <c r="N239" s="11"/>
      <c r="O239" s="11"/>
      <c r="P239" s="11"/>
      <c r="Q239" s="11"/>
      <c r="R239" s="11">
        <v>140</v>
      </c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>
        <v>140</v>
      </c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>
        <v>140</v>
      </c>
      <c r="AO239" s="11"/>
      <c r="AP239" s="11"/>
      <c r="AQ239" s="11"/>
      <c r="AR239" s="11"/>
      <c r="AS239" s="11"/>
      <c r="AT239" s="20" t="str">
        <f>HYPERLINK("http://www.openstreetmap.org/?mlat=34.0402&amp;mlon=44.3719&amp;zoom=12#map=12/34.0402/44.3719","Maplink1")</f>
        <v>Maplink1</v>
      </c>
      <c r="AU239" s="20" t="str">
        <f>HYPERLINK("https://www.google.iq/maps/search/+34.0402,44.3719/@34.0402,44.3719,14z?hl=en","Maplink2")</f>
        <v>Maplink2</v>
      </c>
      <c r="AV239" s="20" t="str">
        <f>HYPERLINK("http://www.bing.com/maps/?lvl=14&amp;sty=h&amp;cp=34.0402~44.3719&amp;sp=point.34.0402_44.3719","Maplink3")</f>
        <v>Maplink3</v>
      </c>
    </row>
    <row r="240" spans="1:48" x14ac:dyDescent="0.25">
      <c r="A240" s="9">
        <v>27157</v>
      </c>
      <c r="B240" s="10" t="s">
        <v>13</v>
      </c>
      <c r="C240" s="10" t="s">
        <v>465</v>
      </c>
      <c r="D240" s="10" t="s">
        <v>551</v>
      </c>
      <c r="E240" s="10" t="s">
        <v>552</v>
      </c>
      <c r="F240" s="10">
        <v>34.23302623</v>
      </c>
      <c r="G240" s="10">
        <v>44.527980419999999</v>
      </c>
      <c r="H240" s="11">
        <v>17</v>
      </c>
      <c r="I240" s="11">
        <v>102</v>
      </c>
      <c r="J240" s="11"/>
      <c r="K240" s="11"/>
      <c r="L240" s="11"/>
      <c r="M240" s="11"/>
      <c r="N240" s="11"/>
      <c r="O240" s="11"/>
      <c r="P240" s="11"/>
      <c r="Q240" s="11"/>
      <c r="R240" s="11">
        <v>17</v>
      </c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>
        <v>17</v>
      </c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>
        <v>17</v>
      </c>
      <c r="AO240" s="11"/>
      <c r="AP240" s="11"/>
      <c r="AQ240" s="11"/>
      <c r="AR240" s="11"/>
      <c r="AS240" s="11"/>
      <c r="AT240" s="20" t="str">
        <f>HYPERLINK("http://www.openstreetmap.org/?mlat=34.233&amp;mlon=44.528&amp;zoom=12#map=12/34.233/44.528","Maplink1")</f>
        <v>Maplink1</v>
      </c>
      <c r="AU240" s="20" t="str">
        <f>HYPERLINK("https://www.google.iq/maps/search/+34.233,44.528/@34.233,44.528,14z?hl=en","Maplink2")</f>
        <v>Maplink2</v>
      </c>
      <c r="AV240" s="20" t="str">
        <f>HYPERLINK("http://www.bing.com/maps/?lvl=14&amp;sty=h&amp;cp=34.233~44.528&amp;sp=point.34.233_44.528","Maplink3")</f>
        <v>Maplink3</v>
      </c>
    </row>
    <row r="241" spans="1:48" x14ac:dyDescent="0.25">
      <c r="A241" s="9">
        <v>27183</v>
      </c>
      <c r="B241" s="10" t="s">
        <v>13</v>
      </c>
      <c r="C241" s="10" t="s">
        <v>465</v>
      </c>
      <c r="D241" s="10" t="s">
        <v>553</v>
      </c>
      <c r="E241" s="10" t="s">
        <v>554</v>
      </c>
      <c r="F241" s="10">
        <v>34.216574970000003</v>
      </c>
      <c r="G241" s="10">
        <v>44.520291380000003</v>
      </c>
      <c r="H241" s="11">
        <v>17</v>
      </c>
      <c r="I241" s="11">
        <v>102</v>
      </c>
      <c r="J241" s="11"/>
      <c r="K241" s="11"/>
      <c r="L241" s="11"/>
      <c r="M241" s="11"/>
      <c r="N241" s="11"/>
      <c r="O241" s="11"/>
      <c r="P241" s="11"/>
      <c r="Q241" s="11"/>
      <c r="R241" s="11">
        <v>17</v>
      </c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>
        <v>17</v>
      </c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>
        <v>17</v>
      </c>
      <c r="AO241" s="11"/>
      <c r="AP241" s="11"/>
      <c r="AQ241" s="11"/>
      <c r="AR241" s="11"/>
      <c r="AS241" s="11"/>
      <c r="AT241" s="20" t="str">
        <f>HYPERLINK("http://www.openstreetmap.org/?mlat=34.2166&amp;mlon=44.5203&amp;zoom=12#map=12/34.2166/44.5203","Maplink1")</f>
        <v>Maplink1</v>
      </c>
      <c r="AU241" s="20" t="str">
        <f>HYPERLINK("https://www.google.iq/maps/search/+34.2166,44.5203/@34.2166,44.5203,14z?hl=en","Maplink2")</f>
        <v>Maplink2</v>
      </c>
      <c r="AV241" s="20" t="str">
        <f>HYPERLINK("http://www.bing.com/maps/?lvl=14&amp;sty=h&amp;cp=34.2166~44.5203&amp;sp=point.34.2166_44.5203","Maplink3")</f>
        <v>Maplink3</v>
      </c>
    </row>
    <row r="242" spans="1:48" x14ac:dyDescent="0.25">
      <c r="A242" s="9">
        <v>23498</v>
      </c>
      <c r="B242" s="10" t="s">
        <v>13</v>
      </c>
      <c r="C242" s="10" t="s">
        <v>465</v>
      </c>
      <c r="D242" s="10" t="s">
        <v>555</v>
      </c>
      <c r="E242" s="10" t="s">
        <v>556</v>
      </c>
      <c r="F242" s="10">
        <v>34.369897220799999</v>
      </c>
      <c r="G242" s="10">
        <v>44.605070463099999</v>
      </c>
      <c r="H242" s="11">
        <v>10</v>
      </c>
      <c r="I242" s="11">
        <v>60</v>
      </c>
      <c r="J242" s="11"/>
      <c r="K242" s="11"/>
      <c r="L242" s="11"/>
      <c r="M242" s="11"/>
      <c r="N242" s="11"/>
      <c r="O242" s="11"/>
      <c r="P242" s="11"/>
      <c r="Q242" s="11"/>
      <c r="R242" s="11">
        <v>10</v>
      </c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>
        <v>10</v>
      </c>
      <c r="AE242" s="11"/>
      <c r="AF242" s="11"/>
      <c r="AG242" s="11"/>
      <c r="AH242" s="11"/>
      <c r="AI242" s="11"/>
      <c r="AJ242" s="11"/>
      <c r="AK242" s="11"/>
      <c r="AL242" s="11"/>
      <c r="AM242" s="11"/>
      <c r="AN242" s="11">
        <v>10</v>
      </c>
      <c r="AO242" s="11"/>
      <c r="AP242" s="11"/>
      <c r="AQ242" s="11"/>
      <c r="AR242" s="11"/>
      <c r="AS242" s="11"/>
      <c r="AT242" s="20" t="str">
        <f>HYPERLINK("http://www.openstreetmap.org/?mlat=34.3699&amp;mlon=44.6051&amp;zoom=12#map=12/34.3699/44.6051","Maplink1")</f>
        <v>Maplink1</v>
      </c>
      <c r="AU242" s="20" t="str">
        <f>HYPERLINK("https://www.google.iq/maps/search/+34.3699,44.6051/@34.3699,44.6051,14z?hl=en","Maplink2")</f>
        <v>Maplink2</v>
      </c>
      <c r="AV242" s="20" t="str">
        <f>HYPERLINK("http://www.bing.com/maps/?lvl=14&amp;sty=h&amp;cp=34.3699~44.6051&amp;sp=point.34.3699_44.6051","Maplink3")</f>
        <v>Maplink3</v>
      </c>
    </row>
    <row r="243" spans="1:48" x14ac:dyDescent="0.25">
      <c r="A243" s="9">
        <v>25681</v>
      </c>
      <c r="B243" s="10" t="s">
        <v>13</v>
      </c>
      <c r="C243" s="10" t="s">
        <v>465</v>
      </c>
      <c r="D243" s="10" t="s">
        <v>557</v>
      </c>
      <c r="E243" s="10" t="s">
        <v>558</v>
      </c>
      <c r="F243" s="10">
        <v>34.125384133899999</v>
      </c>
      <c r="G243" s="10">
        <v>44.843834078299999</v>
      </c>
      <c r="H243" s="11">
        <v>12</v>
      </c>
      <c r="I243" s="11">
        <v>72</v>
      </c>
      <c r="J243" s="11"/>
      <c r="K243" s="11"/>
      <c r="L243" s="11"/>
      <c r="M243" s="11"/>
      <c r="N243" s="11"/>
      <c r="O243" s="11">
        <v>10</v>
      </c>
      <c r="P243" s="11"/>
      <c r="Q243" s="11"/>
      <c r="R243" s="11">
        <v>2</v>
      </c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>
        <v>12</v>
      </c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>
        <v>12</v>
      </c>
      <c r="AQ243" s="11"/>
      <c r="AR243" s="11"/>
      <c r="AS243" s="11"/>
      <c r="AT243" s="20" t="str">
        <f>HYPERLINK("http://www.openstreetmap.org/?mlat=34.1254&amp;mlon=44.8438&amp;zoom=12#map=12/34.1254/44.8438","Maplink1")</f>
        <v>Maplink1</v>
      </c>
      <c r="AU243" s="20" t="str">
        <f>HYPERLINK("https://www.google.iq/maps/search/+34.1254,44.8438/@34.1254,44.8438,14z?hl=en","Maplink2")</f>
        <v>Maplink2</v>
      </c>
      <c r="AV243" s="20" t="str">
        <f>HYPERLINK("http://www.bing.com/maps/?lvl=14&amp;sty=h&amp;cp=34.1254~44.8438&amp;sp=point.34.1254_44.8438","Maplink3")</f>
        <v>Maplink3</v>
      </c>
    </row>
    <row r="244" spans="1:48" x14ac:dyDescent="0.25">
      <c r="A244" s="9">
        <v>25680</v>
      </c>
      <c r="B244" s="10" t="s">
        <v>13</v>
      </c>
      <c r="C244" s="10" t="s">
        <v>465</v>
      </c>
      <c r="D244" s="10" t="s">
        <v>559</v>
      </c>
      <c r="E244" s="10" t="s">
        <v>560</v>
      </c>
      <c r="F244" s="10">
        <v>34.023652210000002</v>
      </c>
      <c r="G244" s="10">
        <v>44.865479260000001</v>
      </c>
      <c r="H244" s="11">
        <v>100</v>
      </c>
      <c r="I244" s="11">
        <v>600</v>
      </c>
      <c r="J244" s="11"/>
      <c r="K244" s="11"/>
      <c r="L244" s="11"/>
      <c r="M244" s="11"/>
      <c r="N244" s="11"/>
      <c r="O244" s="11">
        <v>82</v>
      </c>
      <c r="P244" s="11"/>
      <c r="Q244" s="11"/>
      <c r="R244" s="11">
        <v>9</v>
      </c>
      <c r="S244" s="11"/>
      <c r="T244" s="11"/>
      <c r="U244" s="11"/>
      <c r="V244" s="11"/>
      <c r="W244" s="11"/>
      <c r="X244" s="11"/>
      <c r="Y244" s="11">
        <v>9</v>
      </c>
      <c r="Z244" s="11"/>
      <c r="AA244" s="11"/>
      <c r="AB244" s="11"/>
      <c r="AC244" s="11">
        <v>100</v>
      </c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>
        <v>100</v>
      </c>
      <c r="AQ244" s="11"/>
      <c r="AR244" s="11"/>
      <c r="AS244" s="11"/>
      <c r="AT244" s="20" t="str">
        <f>HYPERLINK("http://www.openstreetmap.org/?mlat=34.0237&amp;mlon=44.8655&amp;zoom=12#map=12/34.0237/44.8655","Maplink1")</f>
        <v>Maplink1</v>
      </c>
      <c r="AU244" s="20" t="str">
        <f>HYPERLINK("https://www.google.iq/maps/search/+34.0237,44.8655/@34.0237,44.8655,14z?hl=en","Maplink2")</f>
        <v>Maplink2</v>
      </c>
      <c r="AV244" s="20" t="str">
        <f>HYPERLINK("http://www.bing.com/maps/?lvl=14&amp;sty=h&amp;cp=34.0237~44.8655&amp;sp=point.34.0237_44.8655","Maplink3")</f>
        <v>Maplink3</v>
      </c>
    </row>
    <row r="245" spans="1:48" x14ac:dyDescent="0.25">
      <c r="A245" s="9">
        <v>26074</v>
      </c>
      <c r="B245" s="10" t="s">
        <v>13</v>
      </c>
      <c r="C245" s="10" t="s">
        <v>465</v>
      </c>
      <c r="D245" s="10" t="s">
        <v>561</v>
      </c>
      <c r="E245" s="10" t="s">
        <v>562</v>
      </c>
      <c r="F245" s="10">
        <v>34.125865169299999</v>
      </c>
      <c r="G245" s="10">
        <v>44.869606619300001</v>
      </c>
      <c r="H245" s="11">
        <v>135</v>
      </c>
      <c r="I245" s="11">
        <v>810</v>
      </c>
      <c r="J245" s="11"/>
      <c r="K245" s="11"/>
      <c r="L245" s="11"/>
      <c r="M245" s="11"/>
      <c r="N245" s="11"/>
      <c r="O245" s="11">
        <v>135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>
        <v>135</v>
      </c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>
        <v>135</v>
      </c>
      <c r="AO245" s="11"/>
      <c r="AP245" s="11"/>
      <c r="AQ245" s="11"/>
      <c r="AR245" s="11"/>
      <c r="AS245" s="11"/>
      <c r="AT245" s="20" t="str">
        <f>HYPERLINK("http://www.openstreetmap.org/?mlat=34.1259&amp;mlon=44.8696&amp;zoom=12#map=12/34.1259/44.8696","Maplink1")</f>
        <v>Maplink1</v>
      </c>
      <c r="AU245" s="20" t="str">
        <f>HYPERLINK("https://www.google.iq/maps/search/+34.1259,44.8696/@34.1259,44.8696,14z?hl=en","Maplink2")</f>
        <v>Maplink2</v>
      </c>
      <c r="AV245" s="20" t="str">
        <f>HYPERLINK("http://www.bing.com/maps/?lvl=14&amp;sty=h&amp;cp=34.1259~44.8696&amp;sp=point.34.1259_44.8696","Maplink3")</f>
        <v>Maplink3</v>
      </c>
    </row>
    <row r="246" spans="1:48" x14ac:dyDescent="0.25">
      <c r="A246" s="9">
        <v>26055</v>
      </c>
      <c r="B246" s="10" t="s">
        <v>13</v>
      </c>
      <c r="C246" s="10" t="s">
        <v>465</v>
      </c>
      <c r="D246" s="10" t="s">
        <v>563</v>
      </c>
      <c r="E246" s="10" t="s">
        <v>564</v>
      </c>
      <c r="F246" s="10">
        <v>34.133398370199998</v>
      </c>
      <c r="G246" s="10">
        <v>44.8601511548</v>
      </c>
      <c r="H246" s="11">
        <v>95</v>
      </c>
      <c r="I246" s="11">
        <v>570</v>
      </c>
      <c r="J246" s="11"/>
      <c r="K246" s="11"/>
      <c r="L246" s="11"/>
      <c r="M246" s="11"/>
      <c r="N246" s="11"/>
      <c r="O246" s="11">
        <v>95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>
        <v>95</v>
      </c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>
        <v>95</v>
      </c>
      <c r="AO246" s="11"/>
      <c r="AP246" s="11"/>
      <c r="AQ246" s="11"/>
      <c r="AR246" s="11"/>
      <c r="AS246" s="11"/>
      <c r="AT246" s="20" t="str">
        <f>HYPERLINK("http://www.openstreetmap.org/?mlat=34.1334&amp;mlon=44.8602&amp;zoom=12#map=12/34.1334/44.8602","Maplink1")</f>
        <v>Maplink1</v>
      </c>
      <c r="AU246" s="20" t="str">
        <f>HYPERLINK("https://www.google.iq/maps/search/+34.1334,44.8602/@34.1334,44.8602,14z?hl=en","Maplink2")</f>
        <v>Maplink2</v>
      </c>
      <c r="AV246" s="20" t="str">
        <f>HYPERLINK("http://www.bing.com/maps/?lvl=14&amp;sty=h&amp;cp=34.1334~44.8602&amp;sp=point.34.1334_44.8602","Maplink3")</f>
        <v>Maplink3</v>
      </c>
    </row>
    <row r="247" spans="1:48" x14ac:dyDescent="0.25">
      <c r="A247" s="9">
        <v>28465</v>
      </c>
      <c r="B247" s="10" t="s">
        <v>13</v>
      </c>
      <c r="C247" s="10" t="s">
        <v>465</v>
      </c>
      <c r="D247" s="10" t="s">
        <v>565</v>
      </c>
      <c r="E247" s="10" t="s">
        <v>566</v>
      </c>
      <c r="F247" s="10">
        <v>34.309219121300004</v>
      </c>
      <c r="G247" s="10">
        <v>44.561925708399997</v>
      </c>
      <c r="H247" s="11">
        <v>17</v>
      </c>
      <c r="I247" s="11">
        <v>102</v>
      </c>
      <c r="J247" s="11"/>
      <c r="K247" s="11"/>
      <c r="L247" s="11"/>
      <c r="M247" s="11"/>
      <c r="N247" s="11"/>
      <c r="O247" s="11">
        <v>17</v>
      </c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>
        <v>17</v>
      </c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>
        <v>17</v>
      </c>
      <c r="AO247" s="11"/>
      <c r="AP247" s="11"/>
      <c r="AQ247" s="11"/>
      <c r="AR247" s="11"/>
      <c r="AS247" s="11"/>
      <c r="AT247" s="20" t="str">
        <f>HYPERLINK("http://www.openstreetmap.org/?mlat=34.3092&amp;mlon=44.5619&amp;zoom=12#map=12/34.3092/44.5619","Maplink1")</f>
        <v>Maplink1</v>
      </c>
      <c r="AU247" s="20" t="str">
        <f>HYPERLINK("https://www.google.iq/maps/search/+34.3092,44.5619/@34.3092,44.5619,14z?hl=en","Maplink2")</f>
        <v>Maplink2</v>
      </c>
      <c r="AV247" s="20" t="str">
        <f>HYPERLINK("http://www.bing.com/maps/?lvl=14&amp;sty=h&amp;cp=34.3092~44.5619&amp;sp=point.34.3092_44.5619","Maplink3")</f>
        <v>Maplink3</v>
      </c>
    </row>
    <row r="248" spans="1:48" x14ac:dyDescent="0.25">
      <c r="A248" s="9">
        <v>28446</v>
      </c>
      <c r="B248" s="10" t="s">
        <v>13</v>
      </c>
      <c r="C248" s="10" t="s">
        <v>465</v>
      </c>
      <c r="D248" s="10" t="s">
        <v>567</v>
      </c>
      <c r="E248" s="10" t="s">
        <v>568</v>
      </c>
      <c r="F248" s="10">
        <v>34.270393769999998</v>
      </c>
      <c r="G248" s="10">
        <v>44.533716560000002</v>
      </c>
      <c r="H248" s="11">
        <v>17</v>
      </c>
      <c r="I248" s="11">
        <v>102</v>
      </c>
      <c r="J248" s="11"/>
      <c r="K248" s="11"/>
      <c r="L248" s="11"/>
      <c r="M248" s="11"/>
      <c r="N248" s="11"/>
      <c r="O248" s="11">
        <v>17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>
        <v>17</v>
      </c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>
        <v>17</v>
      </c>
      <c r="AO248" s="11"/>
      <c r="AP248" s="11"/>
      <c r="AQ248" s="11"/>
      <c r="AR248" s="11"/>
      <c r="AS248" s="11"/>
      <c r="AT248" s="20" t="str">
        <f>HYPERLINK("http://www.openstreetmap.org/?mlat=34.2704&amp;mlon=44.5337&amp;zoom=12#map=12/34.2704/44.5337","Maplink1")</f>
        <v>Maplink1</v>
      </c>
      <c r="AU248" s="20" t="str">
        <f>HYPERLINK("https://www.google.iq/maps/search/+34.2704,44.5337/@34.2704,44.5337,14z?hl=en","Maplink2")</f>
        <v>Maplink2</v>
      </c>
      <c r="AV248" s="20" t="str">
        <f>HYPERLINK("http://www.bing.com/maps/?lvl=14&amp;sty=h&amp;cp=34.2704~44.5337&amp;sp=point.34.2704_44.5337","Maplink3")</f>
        <v>Maplink3</v>
      </c>
    </row>
    <row r="249" spans="1:48" x14ac:dyDescent="0.25">
      <c r="A249" s="9">
        <v>25670</v>
      </c>
      <c r="B249" s="10" t="s">
        <v>13</v>
      </c>
      <c r="C249" s="10" t="s">
        <v>465</v>
      </c>
      <c r="D249" s="10" t="s">
        <v>569</v>
      </c>
      <c r="E249" s="10" t="s">
        <v>570</v>
      </c>
      <c r="F249" s="10">
        <v>34.075144657899997</v>
      </c>
      <c r="G249" s="10">
        <v>44.7786285436</v>
      </c>
      <c r="H249" s="11">
        <v>57</v>
      </c>
      <c r="I249" s="11">
        <v>342</v>
      </c>
      <c r="J249" s="11"/>
      <c r="K249" s="11"/>
      <c r="L249" s="11"/>
      <c r="M249" s="11"/>
      <c r="N249" s="11"/>
      <c r="O249" s="11">
        <v>57</v>
      </c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>
        <v>57</v>
      </c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>
        <v>57</v>
      </c>
      <c r="AO249" s="11"/>
      <c r="AP249" s="11"/>
      <c r="AQ249" s="11"/>
      <c r="AR249" s="11"/>
      <c r="AS249" s="11"/>
      <c r="AT249" s="20" t="str">
        <f>HYPERLINK("http://www.openstreetmap.org/?mlat=34.0751&amp;mlon=44.7786&amp;zoom=12#map=12/34.0751/44.7786","Maplink1")</f>
        <v>Maplink1</v>
      </c>
      <c r="AU249" s="20" t="str">
        <f>HYPERLINK("https://www.google.iq/maps/search/+34.0751,44.7786/@34.0751,44.7786,14z?hl=en","Maplink2")</f>
        <v>Maplink2</v>
      </c>
      <c r="AV249" s="20" t="str">
        <f>HYPERLINK("http://www.bing.com/maps/?lvl=14&amp;sty=h&amp;cp=34.0751~44.7786&amp;sp=point.34.0751_44.7786","Maplink3")</f>
        <v>Maplink3</v>
      </c>
    </row>
    <row r="250" spans="1:48" x14ac:dyDescent="0.25">
      <c r="A250" s="9">
        <v>25671</v>
      </c>
      <c r="B250" s="10" t="s">
        <v>13</v>
      </c>
      <c r="C250" s="10" t="s">
        <v>465</v>
      </c>
      <c r="D250" s="10" t="s">
        <v>571</v>
      </c>
      <c r="E250" s="10" t="s">
        <v>572</v>
      </c>
      <c r="F250" s="10">
        <v>34.040577999999996</v>
      </c>
      <c r="G250" s="10">
        <v>44.881273</v>
      </c>
      <c r="H250" s="11">
        <v>272</v>
      </c>
      <c r="I250" s="11">
        <v>1632</v>
      </c>
      <c r="J250" s="11"/>
      <c r="K250" s="11"/>
      <c r="L250" s="11"/>
      <c r="M250" s="11"/>
      <c r="N250" s="11"/>
      <c r="O250" s="11">
        <v>184</v>
      </c>
      <c r="P250" s="11"/>
      <c r="Q250" s="11"/>
      <c r="R250" s="11">
        <v>38</v>
      </c>
      <c r="S250" s="11"/>
      <c r="T250" s="11"/>
      <c r="U250" s="11"/>
      <c r="V250" s="11"/>
      <c r="W250" s="11"/>
      <c r="X250" s="11"/>
      <c r="Y250" s="11">
        <v>50</v>
      </c>
      <c r="Z250" s="11"/>
      <c r="AA250" s="11"/>
      <c r="AB250" s="11"/>
      <c r="AC250" s="11">
        <v>272</v>
      </c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>
        <v>272</v>
      </c>
      <c r="AQ250" s="11"/>
      <c r="AR250" s="11"/>
      <c r="AS250" s="11"/>
      <c r="AT250" s="20" t="str">
        <f>HYPERLINK("http://www.openstreetmap.org/?mlat=34.0406&amp;mlon=44.8813&amp;zoom=12#map=12/34.0406/44.8813","Maplink1")</f>
        <v>Maplink1</v>
      </c>
      <c r="AU250" s="20" t="str">
        <f>HYPERLINK("https://www.google.iq/maps/search/+34.0406,44.8813/@34.0406,44.8813,14z?hl=en","Maplink2")</f>
        <v>Maplink2</v>
      </c>
      <c r="AV250" s="20" t="str">
        <f>HYPERLINK("http://www.bing.com/maps/?lvl=14&amp;sty=h&amp;cp=34.0406~44.8813&amp;sp=point.34.0406_44.8813","Maplink3")</f>
        <v>Maplink3</v>
      </c>
    </row>
    <row r="251" spans="1:48" x14ac:dyDescent="0.25">
      <c r="A251" s="9">
        <v>27162</v>
      </c>
      <c r="B251" s="10" t="s">
        <v>13</v>
      </c>
      <c r="C251" s="10" t="s">
        <v>465</v>
      </c>
      <c r="D251" s="10" t="s">
        <v>573</v>
      </c>
      <c r="E251" s="10" t="s">
        <v>574</v>
      </c>
      <c r="F251" s="10">
        <v>34.324599319999997</v>
      </c>
      <c r="G251" s="10">
        <v>44.744052719999999</v>
      </c>
      <c r="H251" s="11">
        <v>120</v>
      </c>
      <c r="I251" s="11">
        <v>720</v>
      </c>
      <c r="J251" s="11"/>
      <c r="K251" s="11"/>
      <c r="L251" s="11"/>
      <c r="M251" s="11"/>
      <c r="N251" s="11"/>
      <c r="O251" s="11"/>
      <c r="P251" s="11"/>
      <c r="Q251" s="11"/>
      <c r="R251" s="11">
        <v>120</v>
      </c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>
        <v>120</v>
      </c>
      <c r="AE251" s="11"/>
      <c r="AF251" s="11"/>
      <c r="AG251" s="11"/>
      <c r="AH251" s="11"/>
      <c r="AI251" s="11"/>
      <c r="AJ251" s="11"/>
      <c r="AK251" s="11"/>
      <c r="AL251" s="11"/>
      <c r="AM251" s="11"/>
      <c r="AN251" s="11">
        <v>120</v>
      </c>
      <c r="AO251" s="11"/>
      <c r="AP251" s="11"/>
      <c r="AQ251" s="11"/>
      <c r="AR251" s="11"/>
      <c r="AS251" s="11"/>
      <c r="AT251" s="20" t="str">
        <f>HYPERLINK("http://www.openstreetmap.org/?mlat=34.3246&amp;mlon=44.7441&amp;zoom=12#map=12/34.3246/44.7441","Maplink1")</f>
        <v>Maplink1</v>
      </c>
      <c r="AU251" s="20" t="str">
        <f>HYPERLINK("https://www.google.iq/maps/search/+34.3246,44.7441/@34.3246,44.7441,14z?hl=en","Maplink2")</f>
        <v>Maplink2</v>
      </c>
      <c r="AV251" s="20" t="str">
        <f>HYPERLINK("http://www.bing.com/maps/?lvl=14&amp;sty=h&amp;cp=34.3246~44.7441&amp;sp=point.34.3246_44.7441","Maplink3")</f>
        <v>Maplink3</v>
      </c>
    </row>
    <row r="252" spans="1:48" x14ac:dyDescent="0.25">
      <c r="A252" s="9">
        <v>25651</v>
      </c>
      <c r="B252" s="10" t="s">
        <v>13</v>
      </c>
      <c r="C252" s="10" t="s">
        <v>465</v>
      </c>
      <c r="D252" s="10" t="s">
        <v>575</v>
      </c>
      <c r="E252" s="10" t="s">
        <v>576</v>
      </c>
      <c r="F252" s="10">
        <v>34.073397</v>
      </c>
      <c r="G252" s="10">
        <v>44.8639966</v>
      </c>
      <c r="H252" s="11">
        <v>433</v>
      </c>
      <c r="I252" s="11">
        <v>2598</v>
      </c>
      <c r="J252" s="11"/>
      <c r="K252" s="11"/>
      <c r="L252" s="11"/>
      <c r="M252" s="11"/>
      <c r="N252" s="11"/>
      <c r="O252" s="11">
        <v>333</v>
      </c>
      <c r="P252" s="11"/>
      <c r="Q252" s="11"/>
      <c r="R252" s="11">
        <v>45</v>
      </c>
      <c r="S252" s="11"/>
      <c r="T252" s="11"/>
      <c r="U252" s="11"/>
      <c r="V252" s="11"/>
      <c r="W252" s="11"/>
      <c r="X252" s="11"/>
      <c r="Y252" s="11">
        <v>55</v>
      </c>
      <c r="Z252" s="11"/>
      <c r="AA252" s="11"/>
      <c r="AB252" s="11"/>
      <c r="AC252" s="11">
        <v>433</v>
      </c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>
        <v>433</v>
      </c>
      <c r="AO252" s="11"/>
      <c r="AP252" s="11"/>
      <c r="AQ252" s="11"/>
      <c r="AR252" s="11"/>
      <c r="AS252" s="11"/>
      <c r="AT252" s="20" t="str">
        <f>HYPERLINK("http://www.openstreetmap.org/?mlat=34.0734&amp;mlon=44.864&amp;zoom=12#map=12/34.0734/44.864","Maplink1")</f>
        <v>Maplink1</v>
      </c>
      <c r="AU252" s="20" t="str">
        <f>HYPERLINK("https://www.google.iq/maps/search/+34.0734,44.864/@34.0734,44.864,14z?hl=en","Maplink2")</f>
        <v>Maplink2</v>
      </c>
      <c r="AV252" s="20" t="str">
        <f>HYPERLINK("http://www.bing.com/maps/?lvl=14&amp;sty=h&amp;cp=34.0734~44.864&amp;sp=point.34.0734_44.864","Maplink3")</f>
        <v>Maplink3</v>
      </c>
    </row>
    <row r="253" spans="1:48" x14ac:dyDescent="0.25">
      <c r="A253" s="9">
        <v>24194</v>
      </c>
      <c r="B253" s="10" t="s">
        <v>13</v>
      </c>
      <c r="C253" s="10" t="s">
        <v>465</v>
      </c>
      <c r="D253" s="10" t="s">
        <v>577</v>
      </c>
      <c r="E253" s="10" t="s">
        <v>578</v>
      </c>
      <c r="F253" s="10">
        <v>34.073169549900001</v>
      </c>
      <c r="G253" s="10">
        <v>44.855870739499998</v>
      </c>
      <c r="H253" s="11">
        <v>200</v>
      </c>
      <c r="I253" s="11">
        <v>1200</v>
      </c>
      <c r="J253" s="11"/>
      <c r="K253" s="11"/>
      <c r="L253" s="11"/>
      <c r="M253" s="11"/>
      <c r="N253" s="11"/>
      <c r="O253" s="11">
        <v>161</v>
      </c>
      <c r="P253" s="11"/>
      <c r="Q253" s="11"/>
      <c r="R253" s="11">
        <v>39</v>
      </c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>
        <v>200</v>
      </c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>
        <v>200</v>
      </c>
      <c r="AO253" s="11"/>
      <c r="AP253" s="11"/>
      <c r="AQ253" s="11"/>
      <c r="AR253" s="11"/>
      <c r="AS253" s="11"/>
      <c r="AT253" s="20" t="str">
        <f>HYPERLINK("http://www.openstreetmap.org/?mlat=34.0732&amp;mlon=44.8559&amp;zoom=12#map=12/34.0732/44.8559","Maplink1")</f>
        <v>Maplink1</v>
      </c>
      <c r="AU253" s="20" t="str">
        <f>HYPERLINK("https://www.google.iq/maps/search/+34.0732,44.8559/@34.0732,44.8559,14z?hl=en","Maplink2")</f>
        <v>Maplink2</v>
      </c>
      <c r="AV253" s="20" t="str">
        <f>HYPERLINK("http://www.bing.com/maps/?lvl=14&amp;sty=h&amp;cp=34.0732~44.8559&amp;sp=point.34.0732_44.8559","Maplink3")</f>
        <v>Maplink3</v>
      </c>
    </row>
    <row r="254" spans="1:48" x14ac:dyDescent="0.25">
      <c r="A254" s="9">
        <v>25655</v>
      </c>
      <c r="B254" s="10" t="s">
        <v>13</v>
      </c>
      <c r="C254" s="10" t="s">
        <v>465</v>
      </c>
      <c r="D254" s="10" t="s">
        <v>579</v>
      </c>
      <c r="E254" s="10" t="s">
        <v>580</v>
      </c>
      <c r="F254" s="10">
        <v>34.070367109999999</v>
      </c>
      <c r="G254" s="10">
        <v>44.870580060000002</v>
      </c>
      <c r="H254" s="11">
        <v>305</v>
      </c>
      <c r="I254" s="11">
        <v>1830</v>
      </c>
      <c r="J254" s="11"/>
      <c r="K254" s="11"/>
      <c r="L254" s="11"/>
      <c r="M254" s="11"/>
      <c r="N254" s="11"/>
      <c r="O254" s="11">
        <v>210</v>
      </c>
      <c r="P254" s="11"/>
      <c r="Q254" s="11"/>
      <c r="R254" s="11">
        <v>50</v>
      </c>
      <c r="S254" s="11"/>
      <c r="T254" s="11"/>
      <c r="U254" s="11"/>
      <c r="V254" s="11"/>
      <c r="W254" s="11"/>
      <c r="X254" s="11"/>
      <c r="Y254" s="11">
        <v>45</v>
      </c>
      <c r="Z254" s="11"/>
      <c r="AA254" s="11"/>
      <c r="AB254" s="11"/>
      <c r="AC254" s="11">
        <v>305</v>
      </c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>
        <v>305</v>
      </c>
      <c r="AO254" s="11"/>
      <c r="AP254" s="11"/>
      <c r="AQ254" s="11"/>
      <c r="AR254" s="11"/>
      <c r="AS254" s="11"/>
      <c r="AT254" s="20" t="str">
        <f>HYPERLINK("http://www.openstreetmap.org/?mlat=34.0704&amp;mlon=44.8706&amp;zoom=12#map=12/34.0704/44.8706","Maplink1")</f>
        <v>Maplink1</v>
      </c>
      <c r="AU254" s="20" t="str">
        <f>HYPERLINK("https://www.google.iq/maps/search/+34.0704,44.8706/@34.0704,44.8706,14z?hl=en","Maplink2")</f>
        <v>Maplink2</v>
      </c>
      <c r="AV254" s="20" t="str">
        <f>HYPERLINK("http://www.bing.com/maps/?lvl=14&amp;sty=h&amp;cp=34.0704~44.8706&amp;sp=point.34.0704_44.8706","Maplink3")</f>
        <v>Maplink3</v>
      </c>
    </row>
    <row r="255" spans="1:48" x14ac:dyDescent="0.25">
      <c r="A255" s="9">
        <v>25652</v>
      </c>
      <c r="B255" s="10" t="s">
        <v>13</v>
      </c>
      <c r="C255" s="10" t="s">
        <v>465</v>
      </c>
      <c r="D255" s="10" t="s">
        <v>581</v>
      </c>
      <c r="E255" s="10" t="s">
        <v>582</v>
      </c>
      <c r="F255" s="10">
        <v>34.069891519999999</v>
      </c>
      <c r="G255" s="10">
        <v>44.864400170000003</v>
      </c>
      <c r="H255" s="11">
        <v>417</v>
      </c>
      <c r="I255" s="11">
        <v>2502</v>
      </c>
      <c r="J255" s="11"/>
      <c r="K255" s="11"/>
      <c r="L255" s="11"/>
      <c r="M255" s="11"/>
      <c r="N255" s="11"/>
      <c r="O255" s="11">
        <v>390</v>
      </c>
      <c r="P255" s="11"/>
      <c r="Q255" s="11"/>
      <c r="R255" s="11">
        <v>17</v>
      </c>
      <c r="S255" s="11"/>
      <c r="T255" s="11"/>
      <c r="U255" s="11"/>
      <c r="V255" s="11"/>
      <c r="W255" s="11"/>
      <c r="X255" s="11"/>
      <c r="Y255" s="11">
        <v>10</v>
      </c>
      <c r="Z255" s="11"/>
      <c r="AA255" s="11"/>
      <c r="AB255" s="11"/>
      <c r="AC255" s="11">
        <v>417</v>
      </c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>
        <v>417</v>
      </c>
      <c r="AO255" s="11"/>
      <c r="AP255" s="11"/>
      <c r="AQ255" s="11"/>
      <c r="AR255" s="11"/>
      <c r="AS255" s="11"/>
      <c r="AT255" s="20" t="str">
        <f>HYPERLINK("http://www.openstreetmap.org/?mlat=34.0699&amp;mlon=44.8644&amp;zoom=12#map=12/34.0699/44.8644","Maplink1")</f>
        <v>Maplink1</v>
      </c>
      <c r="AU255" s="20" t="str">
        <f>HYPERLINK("https://www.google.iq/maps/search/+34.0699,44.8644/@34.0699,44.8644,14z?hl=en","Maplink2")</f>
        <v>Maplink2</v>
      </c>
      <c r="AV255" s="20" t="str">
        <f>HYPERLINK("http://www.bing.com/maps/?lvl=14&amp;sty=h&amp;cp=34.0699~44.8644&amp;sp=point.34.0699_44.8644","Maplink3")</f>
        <v>Maplink3</v>
      </c>
    </row>
    <row r="256" spans="1:48" x14ac:dyDescent="0.25">
      <c r="A256" s="9">
        <v>25653</v>
      </c>
      <c r="B256" s="10" t="s">
        <v>13</v>
      </c>
      <c r="C256" s="10" t="s">
        <v>465</v>
      </c>
      <c r="D256" s="10" t="s">
        <v>583</v>
      </c>
      <c r="E256" s="10" t="s">
        <v>584</v>
      </c>
      <c r="F256" s="10">
        <v>34.077036929999998</v>
      </c>
      <c r="G256" s="10">
        <v>44.855530610000002</v>
      </c>
      <c r="H256" s="11">
        <v>237</v>
      </c>
      <c r="I256" s="11">
        <v>1422</v>
      </c>
      <c r="J256" s="11"/>
      <c r="K256" s="11"/>
      <c r="L256" s="11"/>
      <c r="M256" s="11"/>
      <c r="N256" s="11"/>
      <c r="O256" s="11"/>
      <c r="P256" s="11"/>
      <c r="Q256" s="11"/>
      <c r="R256" s="11">
        <v>237</v>
      </c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>
        <v>237</v>
      </c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>
        <v>237</v>
      </c>
      <c r="AO256" s="11"/>
      <c r="AP256" s="11"/>
      <c r="AQ256" s="11"/>
      <c r="AR256" s="11"/>
      <c r="AS256" s="11"/>
      <c r="AT256" s="20" t="str">
        <f>HYPERLINK("http://www.openstreetmap.org/?mlat=34.077&amp;mlon=44.8555&amp;zoom=12#map=12/34.077/44.8555","Maplink1")</f>
        <v>Maplink1</v>
      </c>
      <c r="AU256" s="20" t="str">
        <f>HYPERLINK("https://www.google.iq/maps/search/+34.077,44.8555/@34.077,44.8555,14z?hl=en","Maplink2")</f>
        <v>Maplink2</v>
      </c>
      <c r="AV256" s="20" t="str">
        <f>HYPERLINK("http://www.bing.com/maps/?lvl=14&amp;sty=h&amp;cp=34.077~44.8555&amp;sp=point.34.077_44.8555","Maplink3")</f>
        <v>Maplink3</v>
      </c>
    </row>
    <row r="257" spans="1:48" x14ac:dyDescent="0.25">
      <c r="A257" s="9">
        <v>25656</v>
      </c>
      <c r="B257" s="10" t="s">
        <v>13</v>
      </c>
      <c r="C257" s="10" t="s">
        <v>465</v>
      </c>
      <c r="D257" s="10" t="s">
        <v>585</v>
      </c>
      <c r="E257" s="10" t="s">
        <v>586</v>
      </c>
      <c r="F257" s="10">
        <v>34.069639559999999</v>
      </c>
      <c r="G257" s="10">
        <v>44.859890450000002</v>
      </c>
      <c r="H257" s="11">
        <v>201</v>
      </c>
      <c r="I257" s="11">
        <v>1206</v>
      </c>
      <c r="J257" s="11"/>
      <c r="K257" s="11"/>
      <c r="L257" s="11"/>
      <c r="M257" s="11"/>
      <c r="N257" s="11"/>
      <c r="O257" s="11">
        <v>141</v>
      </c>
      <c r="P257" s="11"/>
      <c r="Q257" s="11"/>
      <c r="R257" s="11">
        <v>35</v>
      </c>
      <c r="S257" s="11"/>
      <c r="T257" s="11"/>
      <c r="U257" s="11"/>
      <c r="V257" s="11"/>
      <c r="W257" s="11"/>
      <c r="X257" s="11"/>
      <c r="Y257" s="11">
        <v>25</v>
      </c>
      <c r="Z257" s="11"/>
      <c r="AA257" s="11"/>
      <c r="AB257" s="11"/>
      <c r="AC257" s="11">
        <v>201</v>
      </c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>
        <v>201</v>
      </c>
      <c r="AO257" s="11"/>
      <c r="AP257" s="11"/>
      <c r="AQ257" s="11"/>
      <c r="AR257" s="11"/>
      <c r="AS257" s="11"/>
      <c r="AT257" s="20" t="str">
        <f>HYPERLINK("http://www.openstreetmap.org/?mlat=34.0696&amp;mlon=44.8599&amp;zoom=12#map=12/34.0696/44.8599","Maplink1")</f>
        <v>Maplink1</v>
      </c>
      <c r="AU257" s="20" t="str">
        <f>HYPERLINK("https://www.google.iq/maps/search/+34.0696,44.8599/@34.0696,44.8599,14z?hl=en","Maplink2")</f>
        <v>Maplink2</v>
      </c>
      <c r="AV257" s="20" t="str">
        <f>HYPERLINK("http://www.bing.com/maps/?lvl=14&amp;sty=h&amp;cp=34.0696~44.8599&amp;sp=point.34.0696_44.8599","Maplink3")</f>
        <v>Maplink3</v>
      </c>
    </row>
    <row r="258" spans="1:48" x14ac:dyDescent="0.25">
      <c r="A258" s="9">
        <v>25678</v>
      </c>
      <c r="B258" s="10" t="s">
        <v>13</v>
      </c>
      <c r="C258" s="10" t="s">
        <v>465</v>
      </c>
      <c r="D258" s="10" t="s">
        <v>587</v>
      </c>
      <c r="E258" s="10" t="s">
        <v>588</v>
      </c>
      <c r="F258" s="10">
        <v>34.125690872100002</v>
      </c>
      <c r="G258" s="10">
        <v>44.8435787425</v>
      </c>
      <c r="H258" s="11">
        <v>164</v>
      </c>
      <c r="I258" s="11">
        <v>984</v>
      </c>
      <c r="J258" s="11"/>
      <c r="K258" s="11"/>
      <c r="L258" s="11"/>
      <c r="M258" s="11"/>
      <c r="N258" s="11"/>
      <c r="O258" s="11">
        <v>154</v>
      </c>
      <c r="P258" s="11"/>
      <c r="Q258" s="11"/>
      <c r="R258" s="11"/>
      <c r="S258" s="11"/>
      <c r="T258" s="11"/>
      <c r="U258" s="11"/>
      <c r="V258" s="11"/>
      <c r="W258" s="11"/>
      <c r="X258" s="11"/>
      <c r="Y258" s="11">
        <v>10</v>
      </c>
      <c r="Z258" s="11"/>
      <c r="AA258" s="11"/>
      <c r="AB258" s="11"/>
      <c r="AC258" s="11">
        <v>164</v>
      </c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>
        <v>164</v>
      </c>
      <c r="AQ258" s="11"/>
      <c r="AR258" s="11"/>
      <c r="AS258" s="11"/>
      <c r="AT258" s="20" t="str">
        <f>HYPERLINK("http://www.openstreetmap.org/?mlat=34.1257&amp;mlon=44.8436&amp;zoom=12#map=12/34.1257/44.8436","Maplink1")</f>
        <v>Maplink1</v>
      </c>
      <c r="AU258" s="20" t="str">
        <f>HYPERLINK("https://www.google.iq/maps/search/+34.1257,44.8436/@34.1257,44.8436,14z?hl=en","Maplink2")</f>
        <v>Maplink2</v>
      </c>
      <c r="AV258" s="20" t="str">
        <f>HYPERLINK("http://www.bing.com/maps/?lvl=14&amp;sty=h&amp;cp=34.1257~44.8436&amp;sp=point.34.1257_44.8436","Maplink3")</f>
        <v>Maplink3</v>
      </c>
    </row>
    <row r="259" spans="1:48" x14ac:dyDescent="0.25">
      <c r="A259" s="9">
        <v>26076</v>
      </c>
      <c r="B259" s="10" t="s">
        <v>13</v>
      </c>
      <c r="C259" s="10" t="s">
        <v>465</v>
      </c>
      <c r="D259" s="10" t="s">
        <v>589</v>
      </c>
      <c r="E259" s="10" t="s">
        <v>590</v>
      </c>
      <c r="F259" s="10">
        <v>34.068726287700002</v>
      </c>
      <c r="G259" s="10">
        <v>44.895447069900001</v>
      </c>
      <c r="H259" s="11">
        <v>200</v>
      </c>
      <c r="I259" s="11">
        <v>1200</v>
      </c>
      <c r="J259" s="11"/>
      <c r="K259" s="11"/>
      <c r="L259" s="11"/>
      <c r="M259" s="11"/>
      <c r="N259" s="11"/>
      <c r="O259" s="11">
        <v>200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>
        <v>200</v>
      </c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>
        <v>200</v>
      </c>
      <c r="AO259" s="11"/>
      <c r="AP259" s="11"/>
      <c r="AQ259" s="11"/>
      <c r="AR259" s="11"/>
      <c r="AS259" s="11"/>
      <c r="AT259" s="20" t="str">
        <f>HYPERLINK("http://www.openstreetmap.org/?mlat=34.0687&amp;mlon=44.8954&amp;zoom=12#map=12/34.0687/44.8954","Maplink1")</f>
        <v>Maplink1</v>
      </c>
      <c r="AU259" s="20" t="str">
        <f>HYPERLINK("https://www.google.iq/maps/search/+34.0687,44.8954/@34.0687,44.8954,14z?hl=en","Maplink2")</f>
        <v>Maplink2</v>
      </c>
      <c r="AV259" s="20" t="str">
        <f>HYPERLINK("http://www.bing.com/maps/?lvl=14&amp;sty=h&amp;cp=34.0687~44.8954&amp;sp=point.34.0687_44.8954","Maplink3")</f>
        <v>Maplink3</v>
      </c>
    </row>
    <row r="260" spans="1:48" x14ac:dyDescent="0.25">
      <c r="A260" s="9">
        <v>27160</v>
      </c>
      <c r="B260" s="10" t="s">
        <v>13</v>
      </c>
      <c r="C260" s="10" t="s">
        <v>465</v>
      </c>
      <c r="D260" s="10" t="s">
        <v>591</v>
      </c>
      <c r="E260" s="10" t="s">
        <v>592</v>
      </c>
      <c r="F260" s="10">
        <v>34.311416190000003</v>
      </c>
      <c r="G260" s="10">
        <v>44.811089959999997</v>
      </c>
      <c r="H260" s="11">
        <v>75</v>
      </c>
      <c r="I260" s="11">
        <v>450</v>
      </c>
      <c r="J260" s="11"/>
      <c r="K260" s="11"/>
      <c r="L260" s="11"/>
      <c r="M260" s="11"/>
      <c r="N260" s="11"/>
      <c r="O260" s="11"/>
      <c r="P260" s="11"/>
      <c r="Q260" s="11"/>
      <c r="R260" s="11">
        <v>75</v>
      </c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>
        <v>75</v>
      </c>
      <c r="AE260" s="11"/>
      <c r="AF260" s="11"/>
      <c r="AG260" s="11"/>
      <c r="AH260" s="11"/>
      <c r="AI260" s="11"/>
      <c r="AJ260" s="11"/>
      <c r="AK260" s="11"/>
      <c r="AL260" s="11"/>
      <c r="AM260" s="11"/>
      <c r="AN260" s="11">
        <v>75</v>
      </c>
      <c r="AO260" s="11"/>
      <c r="AP260" s="11"/>
      <c r="AQ260" s="11"/>
      <c r="AR260" s="11"/>
      <c r="AS260" s="11"/>
      <c r="AT260" s="20" t="str">
        <f>HYPERLINK("http://www.openstreetmap.org/?mlat=34.3114&amp;mlon=44.8111&amp;zoom=12#map=12/34.3114/44.8111","Maplink1")</f>
        <v>Maplink1</v>
      </c>
      <c r="AU260" s="20" t="str">
        <f>HYPERLINK("https://www.google.iq/maps/search/+34.3114,44.8111/@34.3114,44.8111,14z?hl=en","Maplink2")</f>
        <v>Maplink2</v>
      </c>
      <c r="AV260" s="20" t="str">
        <f>HYPERLINK("http://www.bing.com/maps/?lvl=14&amp;sty=h&amp;cp=34.3114~44.8111&amp;sp=point.34.3114_44.8111","Maplink3")</f>
        <v>Maplink3</v>
      </c>
    </row>
    <row r="261" spans="1:48" x14ac:dyDescent="0.25">
      <c r="A261" s="9">
        <v>25673</v>
      </c>
      <c r="B261" s="10" t="s">
        <v>13</v>
      </c>
      <c r="C261" s="10" t="s">
        <v>465</v>
      </c>
      <c r="D261" s="10" t="s">
        <v>593</v>
      </c>
      <c r="E261" s="10" t="s">
        <v>594</v>
      </c>
      <c r="F261" s="10">
        <v>34.05390233</v>
      </c>
      <c r="G261" s="10">
        <v>44.892276699999996</v>
      </c>
      <c r="H261" s="11">
        <v>549</v>
      </c>
      <c r="I261" s="11">
        <v>3294</v>
      </c>
      <c r="J261" s="11"/>
      <c r="K261" s="11"/>
      <c r="L261" s="11"/>
      <c r="M261" s="11"/>
      <c r="N261" s="11"/>
      <c r="O261" s="11">
        <v>349</v>
      </c>
      <c r="P261" s="11"/>
      <c r="Q261" s="11"/>
      <c r="R261" s="11">
        <v>100</v>
      </c>
      <c r="S261" s="11"/>
      <c r="T261" s="11"/>
      <c r="U261" s="11"/>
      <c r="V261" s="11"/>
      <c r="W261" s="11"/>
      <c r="X261" s="11"/>
      <c r="Y261" s="11">
        <v>100</v>
      </c>
      <c r="Z261" s="11"/>
      <c r="AA261" s="11"/>
      <c r="AB261" s="11"/>
      <c r="AC261" s="11">
        <v>549</v>
      </c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>
        <v>549</v>
      </c>
      <c r="AQ261" s="11"/>
      <c r="AR261" s="11"/>
      <c r="AS261" s="11"/>
      <c r="AT261" s="20" t="str">
        <f>HYPERLINK("http://www.openstreetmap.org/?mlat=34.0539&amp;mlon=44.8923&amp;zoom=12#map=12/34.0539/44.8923","Maplink1")</f>
        <v>Maplink1</v>
      </c>
      <c r="AU261" s="20" t="str">
        <f>HYPERLINK("https://www.google.iq/maps/search/+34.0539,44.8923/@34.0539,44.8923,14z?hl=en","Maplink2")</f>
        <v>Maplink2</v>
      </c>
      <c r="AV261" s="20" t="str">
        <f>HYPERLINK("http://www.bing.com/maps/?lvl=14&amp;sty=h&amp;cp=34.0539~44.8923&amp;sp=point.34.0539_44.8923","Maplink3")</f>
        <v>Maplink3</v>
      </c>
    </row>
    <row r="262" spans="1:48" x14ac:dyDescent="0.25">
      <c r="A262" s="9">
        <v>25672</v>
      </c>
      <c r="B262" s="10" t="s">
        <v>13</v>
      </c>
      <c r="C262" s="10" t="s">
        <v>465</v>
      </c>
      <c r="D262" s="10" t="s">
        <v>595</v>
      </c>
      <c r="E262" s="10" t="s">
        <v>596</v>
      </c>
      <c r="F262" s="10">
        <v>34.121221995500001</v>
      </c>
      <c r="G262" s="10">
        <v>44.8289999677</v>
      </c>
      <c r="H262" s="11">
        <v>240</v>
      </c>
      <c r="I262" s="11">
        <v>1440</v>
      </c>
      <c r="J262" s="11"/>
      <c r="K262" s="11"/>
      <c r="L262" s="11"/>
      <c r="M262" s="11"/>
      <c r="N262" s="11"/>
      <c r="O262" s="11">
        <v>200</v>
      </c>
      <c r="P262" s="11"/>
      <c r="Q262" s="11"/>
      <c r="R262" s="11">
        <v>20</v>
      </c>
      <c r="S262" s="11"/>
      <c r="T262" s="11"/>
      <c r="U262" s="11"/>
      <c r="V262" s="11"/>
      <c r="W262" s="11"/>
      <c r="X262" s="11"/>
      <c r="Y262" s="11">
        <v>20</v>
      </c>
      <c r="Z262" s="11"/>
      <c r="AA262" s="11"/>
      <c r="AB262" s="11"/>
      <c r="AC262" s="11">
        <v>240</v>
      </c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>
        <v>240</v>
      </c>
      <c r="AQ262" s="11"/>
      <c r="AR262" s="11"/>
      <c r="AS262" s="11"/>
      <c r="AT262" s="20" t="str">
        <f>HYPERLINK("http://www.openstreetmap.org/?mlat=34.1212&amp;mlon=44.829&amp;zoom=12#map=12/34.1212/44.829","Maplink1")</f>
        <v>Maplink1</v>
      </c>
      <c r="AU262" s="20" t="str">
        <f>HYPERLINK("https://www.google.iq/maps/search/+34.1212,44.829/@34.1212,44.829,14z?hl=en","Maplink2")</f>
        <v>Maplink2</v>
      </c>
      <c r="AV262" s="20" t="str">
        <f>HYPERLINK("http://www.bing.com/maps/?lvl=14&amp;sty=h&amp;cp=34.1212~44.829&amp;sp=point.34.1212_44.829","Maplink3")</f>
        <v>Maplink3</v>
      </c>
    </row>
    <row r="263" spans="1:48" x14ac:dyDescent="0.25">
      <c r="A263" s="9">
        <v>25677</v>
      </c>
      <c r="B263" s="10" t="s">
        <v>13</v>
      </c>
      <c r="C263" s="10" t="s">
        <v>465</v>
      </c>
      <c r="D263" s="10" t="s">
        <v>597</v>
      </c>
      <c r="E263" s="10" t="s">
        <v>598</v>
      </c>
      <c r="F263" s="10">
        <v>34.039016020200002</v>
      </c>
      <c r="G263" s="10">
        <v>44.883585930599999</v>
      </c>
      <c r="H263" s="11">
        <v>110</v>
      </c>
      <c r="I263" s="11">
        <v>660</v>
      </c>
      <c r="J263" s="11"/>
      <c r="K263" s="11"/>
      <c r="L263" s="11"/>
      <c r="M263" s="11"/>
      <c r="N263" s="11"/>
      <c r="O263" s="11">
        <v>110</v>
      </c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>
        <v>110</v>
      </c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>
        <v>110</v>
      </c>
      <c r="AQ263" s="11"/>
      <c r="AR263" s="11"/>
      <c r="AS263" s="11"/>
      <c r="AT263" s="20" t="str">
        <f>HYPERLINK("http://www.openstreetmap.org/?mlat=34.039&amp;mlon=44.8836&amp;zoom=12#map=12/34.039/44.8836","Maplink1")</f>
        <v>Maplink1</v>
      </c>
      <c r="AU263" s="20" t="str">
        <f>HYPERLINK("https://www.google.iq/maps/search/+34.039,44.8836/@34.039,44.8836,14z?hl=en","Maplink2")</f>
        <v>Maplink2</v>
      </c>
      <c r="AV263" s="20" t="str">
        <f>HYPERLINK("http://www.bing.com/maps/?lvl=14&amp;sty=h&amp;cp=34.039~44.8836&amp;sp=point.34.039_44.8836","Maplink3")</f>
        <v>Maplink3</v>
      </c>
    </row>
    <row r="264" spans="1:48" x14ac:dyDescent="0.25">
      <c r="A264" s="9">
        <v>27171</v>
      </c>
      <c r="B264" s="10" t="s">
        <v>13</v>
      </c>
      <c r="C264" s="10" t="s">
        <v>465</v>
      </c>
      <c r="D264" s="10" t="s">
        <v>599</v>
      </c>
      <c r="E264" s="10" t="s">
        <v>600</v>
      </c>
      <c r="F264" s="10">
        <v>34.101789953500003</v>
      </c>
      <c r="G264" s="10">
        <v>44.462555237099998</v>
      </c>
      <c r="H264" s="11">
        <v>8</v>
      </c>
      <c r="I264" s="11">
        <v>48</v>
      </c>
      <c r="J264" s="11"/>
      <c r="K264" s="11"/>
      <c r="L264" s="11"/>
      <c r="M264" s="11"/>
      <c r="N264" s="11"/>
      <c r="O264" s="11">
        <v>3</v>
      </c>
      <c r="P264" s="11"/>
      <c r="Q264" s="11"/>
      <c r="R264" s="11">
        <v>5</v>
      </c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>
        <v>8</v>
      </c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>
        <v>8</v>
      </c>
      <c r="AO264" s="11"/>
      <c r="AP264" s="11"/>
      <c r="AQ264" s="11"/>
      <c r="AR264" s="11"/>
      <c r="AS264" s="11"/>
      <c r="AT264" s="20" t="str">
        <f>HYPERLINK("http://www.openstreetmap.org/?mlat=34.1018&amp;mlon=44.4626&amp;zoom=12#map=12/34.1018/44.4626","Maplink1")</f>
        <v>Maplink1</v>
      </c>
      <c r="AU264" s="20" t="str">
        <f>HYPERLINK("https://www.google.iq/maps/search/+34.1018,44.4626/@34.1018,44.4626,14z?hl=en","Maplink2")</f>
        <v>Maplink2</v>
      </c>
      <c r="AV264" s="20" t="str">
        <f>HYPERLINK("http://www.bing.com/maps/?lvl=14&amp;sty=h&amp;cp=34.1018~44.4626&amp;sp=point.34.1018_44.4626","Maplink3")</f>
        <v>Maplink3</v>
      </c>
    </row>
    <row r="265" spans="1:48" x14ac:dyDescent="0.25">
      <c r="A265" s="9">
        <v>27170</v>
      </c>
      <c r="B265" s="10" t="s">
        <v>13</v>
      </c>
      <c r="C265" s="10" t="s">
        <v>465</v>
      </c>
      <c r="D265" s="10" t="s">
        <v>601</v>
      </c>
      <c r="E265" s="10" t="s">
        <v>602</v>
      </c>
      <c r="F265" s="10">
        <v>34.232659870399999</v>
      </c>
      <c r="G265" s="10">
        <v>44.517822828299998</v>
      </c>
      <c r="H265" s="11">
        <v>5</v>
      </c>
      <c r="I265" s="11">
        <v>30</v>
      </c>
      <c r="J265" s="11"/>
      <c r="K265" s="11"/>
      <c r="L265" s="11"/>
      <c r="M265" s="11"/>
      <c r="N265" s="11"/>
      <c r="O265" s="11"/>
      <c r="P265" s="11"/>
      <c r="Q265" s="11"/>
      <c r="R265" s="11">
        <v>5</v>
      </c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>
        <v>5</v>
      </c>
      <c r="AE265" s="11"/>
      <c r="AF265" s="11"/>
      <c r="AG265" s="11"/>
      <c r="AH265" s="11"/>
      <c r="AI265" s="11"/>
      <c r="AJ265" s="11"/>
      <c r="AK265" s="11"/>
      <c r="AL265" s="11"/>
      <c r="AM265" s="11"/>
      <c r="AN265" s="11">
        <v>5</v>
      </c>
      <c r="AO265" s="11"/>
      <c r="AP265" s="11"/>
      <c r="AQ265" s="11"/>
      <c r="AR265" s="11"/>
      <c r="AS265" s="11"/>
      <c r="AT265" s="20" t="str">
        <f>HYPERLINK("http://www.openstreetmap.org/?mlat=34.2327&amp;mlon=44.5178&amp;zoom=12#map=12/34.2327/44.5178","Maplink1")</f>
        <v>Maplink1</v>
      </c>
      <c r="AU265" s="20" t="str">
        <f>HYPERLINK("https://www.google.iq/maps/search/+34.2327,44.5178/@34.2327,44.5178,14z?hl=en","Maplink2")</f>
        <v>Maplink2</v>
      </c>
      <c r="AV265" s="20" t="str">
        <f>HYPERLINK("http://www.bing.com/maps/?lvl=14&amp;sty=h&amp;cp=34.2327~44.5178&amp;sp=point.34.2327_44.5178","Maplink3")</f>
        <v>Maplink3</v>
      </c>
    </row>
    <row r="266" spans="1:48" x14ac:dyDescent="0.25">
      <c r="A266" s="9">
        <v>27167</v>
      </c>
      <c r="B266" s="10" t="s">
        <v>13</v>
      </c>
      <c r="C266" s="10" t="s">
        <v>465</v>
      </c>
      <c r="D266" s="10" t="s">
        <v>603</v>
      </c>
      <c r="E266" s="10" t="s">
        <v>604</v>
      </c>
      <c r="F266" s="10">
        <v>34.104028530199997</v>
      </c>
      <c r="G266" s="10">
        <v>44.4160030034</v>
      </c>
      <c r="H266" s="11">
        <v>14</v>
      </c>
      <c r="I266" s="11">
        <v>84</v>
      </c>
      <c r="J266" s="11"/>
      <c r="K266" s="11"/>
      <c r="L266" s="11"/>
      <c r="M266" s="11"/>
      <c r="N266" s="11"/>
      <c r="O266" s="11"/>
      <c r="P266" s="11"/>
      <c r="Q266" s="11"/>
      <c r="R266" s="11">
        <v>14</v>
      </c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>
        <v>14</v>
      </c>
      <c r="AE266" s="11"/>
      <c r="AF266" s="11"/>
      <c r="AG266" s="11"/>
      <c r="AH266" s="11"/>
      <c r="AI266" s="11"/>
      <c r="AJ266" s="11"/>
      <c r="AK266" s="11"/>
      <c r="AL266" s="11"/>
      <c r="AM266" s="11"/>
      <c r="AN266" s="11">
        <v>14</v>
      </c>
      <c r="AO266" s="11"/>
      <c r="AP266" s="11"/>
      <c r="AQ266" s="11"/>
      <c r="AR266" s="11"/>
      <c r="AS266" s="11"/>
      <c r="AT266" s="20" t="str">
        <f>HYPERLINK("http://www.openstreetmap.org/?mlat=34.104&amp;mlon=44.416&amp;zoom=12#map=12/34.104/44.416","Maplink1")</f>
        <v>Maplink1</v>
      </c>
      <c r="AU266" s="20" t="str">
        <f>HYPERLINK("https://www.google.iq/maps/search/+34.104,44.416/@34.104,44.416,14z?hl=en","Maplink2")</f>
        <v>Maplink2</v>
      </c>
      <c r="AV266" s="20" t="str">
        <f>HYPERLINK("http://www.bing.com/maps/?lvl=14&amp;sty=h&amp;cp=34.104~44.416&amp;sp=point.34.104_44.416","Maplink3")</f>
        <v>Maplink3</v>
      </c>
    </row>
    <row r="267" spans="1:48" x14ac:dyDescent="0.25">
      <c r="A267" s="9">
        <v>27179</v>
      </c>
      <c r="B267" s="10" t="s">
        <v>13</v>
      </c>
      <c r="C267" s="10" t="s">
        <v>465</v>
      </c>
      <c r="D267" s="10" t="s">
        <v>605</v>
      </c>
      <c r="E267" s="10" t="s">
        <v>606</v>
      </c>
      <c r="F267" s="10">
        <v>34.174874989999999</v>
      </c>
      <c r="G267" s="10">
        <v>44.42334065</v>
      </c>
      <c r="H267" s="11">
        <v>140</v>
      </c>
      <c r="I267" s="11">
        <v>840</v>
      </c>
      <c r="J267" s="11"/>
      <c r="K267" s="11"/>
      <c r="L267" s="11"/>
      <c r="M267" s="11"/>
      <c r="N267" s="11"/>
      <c r="O267" s="11">
        <v>20</v>
      </c>
      <c r="P267" s="11"/>
      <c r="Q267" s="11"/>
      <c r="R267" s="11">
        <v>120</v>
      </c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>
        <v>140</v>
      </c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>
        <v>140</v>
      </c>
      <c r="AO267" s="11"/>
      <c r="AP267" s="11"/>
      <c r="AQ267" s="11"/>
      <c r="AR267" s="11"/>
      <c r="AS267" s="11"/>
      <c r="AT267" s="20" t="str">
        <f>HYPERLINK("http://www.openstreetmap.org/?mlat=34.1749&amp;mlon=44.4233&amp;zoom=12#map=12/34.1749/44.4233","Maplink1")</f>
        <v>Maplink1</v>
      </c>
      <c r="AU267" s="20" t="str">
        <f>HYPERLINK("https://www.google.iq/maps/search/+34.1749,44.4233/@34.1749,44.4233,14z?hl=en","Maplink2")</f>
        <v>Maplink2</v>
      </c>
      <c r="AV267" s="20" t="str">
        <f>HYPERLINK("http://www.bing.com/maps/?lvl=14&amp;sty=h&amp;cp=34.1749~44.4233&amp;sp=point.34.1749_44.4233","Maplink3")</f>
        <v>Maplink3</v>
      </c>
    </row>
    <row r="268" spans="1:48" x14ac:dyDescent="0.25">
      <c r="A268" s="9">
        <v>27154</v>
      </c>
      <c r="B268" s="10" t="s">
        <v>13</v>
      </c>
      <c r="C268" s="10" t="s">
        <v>465</v>
      </c>
      <c r="D268" s="10" t="s">
        <v>607</v>
      </c>
      <c r="E268" s="10" t="s">
        <v>608</v>
      </c>
      <c r="F268" s="10">
        <v>34.1223563</v>
      </c>
      <c r="G268" s="10">
        <v>44.597043059999997</v>
      </c>
      <c r="H268" s="11">
        <v>47</v>
      </c>
      <c r="I268" s="11">
        <v>282</v>
      </c>
      <c r="J268" s="11"/>
      <c r="K268" s="11"/>
      <c r="L268" s="11"/>
      <c r="M268" s="11"/>
      <c r="N268" s="11"/>
      <c r="O268" s="11"/>
      <c r="P268" s="11"/>
      <c r="Q268" s="11"/>
      <c r="R268" s="11">
        <v>47</v>
      </c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>
        <v>47</v>
      </c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>
        <v>47</v>
      </c>
      <c r="AO268" s="11"/>
      <c r="AP268" s="11"/>
      <c r="AQ268" s="11"/>
      <c r="AR268" s="11"/>
      <c r="AS268" s="11"/>
      <c r="AT268" s="20" t="str">
        <f>HYPERLINK("http://www.openstreetmap.org/?mlat=34.1224&amp;mlon=44.597&amp;zoom=12#map=12/34.1224/44.597","Maplink1")</f>
        <v>Maplink1</v>
      </c>
      <c r="AU268" s="20" t="str">
        <f>HYPERLINK("https://www.google.iq/maps/search/+34.1224,44.597/@34.1224,44.597,14z?hl=en","Maplink2")</f>
        <v>Maplink2</v>
      </c>
      <c r="AV268" s="20" t="str">
        <f>HYPERLINK("http://www.bing.com/maps/?lvl=14&amp;sty=h&amp;cp=34.1224~44.597&amp;sp=point.34.1224_44.597","Maplink3")</f>
        <v>Maplink3</v>
      </c>
    </row>
    <row r="269" spans="1:48" x14ac:dyDescent="0.25">
      <c r="A269" s="9">
        <v>21221</v>
      </c>
      <c r="B269" s="10" t="s">
        <v>13</v>
      </c>
      <c r="C269" s="10" t="s">
        <v>465</v>
      </c>
      <c r="D269" s="10" t="s">
        <v>609</v>
      </c>
      <c r="E269" s="10" t="s">
        <v>610</v>
      </c>
      <c r="F269" s="10">
        <v>34.155734650699998</v>
      </c>
      <c r="G269" s="10">
        <v>44.492778388799998</v>
      </c>
      <c r="H269" s="11">
        <v>55</v>
      </c>
      <c r="I269" s="11">
        <v>330</v>
      </c>
      <c r="J269" s="11"/>
      <c r="K269" s="11"/>
      <c r="L269" s="11"/>
      <c r="M269" s="11"/>
      <c r="N269" s="11"/>
      <c r="O269" s="11"/>
      <c r="P269" s="11"/>
      <c r="Q269" s="11"/>
      <c r="R269" s="11">
        <v>55</v>
      </c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>
        <v>55</v>
      </c>
      <c r="AE269" s="11"/>
      <c r="AF269" s="11"/>
      <c r="AG269" s="11"/>
      <c r="AH269" s="11"/>
      <c r="AI269" s="11"/>
      <c r="AJ269" s="11"/>
      <c r="AK269" s="11"/>
      <c r="AL269" s="11"/>
      <c r="AM269" s="11"/>
      <c r="AN269" s="11">
        <v>55</v>
      </c>
      <c r="AO269" s="11"/>
      <c r="AP269" s="11"/>
      <c r="AQ269" s="11"/>
      <c r="AR269" s="11"/>
      <c r="AS269" s="11"/>
      <c r="AT269" s="20" t="str">
        <f>HYPERLINK("http://www.openstreetmap.org/?mlat=34.1557&amp;mlon=44.4928&amp;zoom=12#map=12/34.1557/44.4928","Maplink1")</f>
        <v>Maplink1</v>
      </c>
      <c r="AU269" s="20" t="str">
        <f>HYPERLINK("https://www.google.iq/maps/search/+34.1557,44.4928/@34.1557,44.4928,14z?hl=en","Maplink2")</f>
        <v>Maplink2</v>
      </c>
      <c r="AV269" s="20" t="str">
        <f>HYPERLINK("http://www.bing.com/maps/?lvl=14&amp;sty=h&amp;cp=34.1557~44.4928&amp;sp=point.34.1557_44.4928","Maplink3")</f>
        <v>Maplink3</v>
      </c>
    </row>
    <row r="270" spans="1:48" x14ac:dyDescent="0.25">
      <c r="A270" s="9">
        <v>27243</v>
      </c>
      <c r="B270" s="10" t="s">
        <v>13</v>
      </c>
      <c r="C270" s="10" t="s">
        <v>465</v>
      </c>
      <c r="D270" s="10" t="s">
        <v>611</v>
      </c>
      <c r="E270" s="10" t="s">
        <v>612</v>
      </c>
      <c r="F270" s="10">
        <v>34.080922271799999</v>
      </c>
      <c r="G270" s="10">
        <v>44.953184283699997</v>
      </c>
      <c r="H270" s="11">
        <v>1310</v>
      </c>
      <c r="I270" s="11">
        <v>7860</v>
      </c>
      <c r="J270" s="11"/>
      <c r="K270" s="11"/>
      <c r="L270" s="11"/>
      <c r="M270" s="11"/>
      <c r="N270" s="11"/>
      <c r="O270" s="11">
        <v>1125</v>
      </c>
      <c r="P270" s="11">
        <v>20</v>
      </c>
      <c r="Q270" s="11"/>
      <c r="R270" s="11">
        <v>120</v>
      </c>
      <c r="S270" s="11"/>
      <c r="T270" s="11"/>
      <c r="U270" s="11"/>
      <c r="V270" s="11"/>
      <c r="W270" s="11"/>
      <c r="X270" s="11"/>
      <c r="Y270" s="11">
        <v>45</v>
      </c>
      <c r="Z270" s="11"/>
      <c r="AA270" s="11"/>
      <c r="AB270" s="11"/>
      <c r="AC270" s="11">
        <v>1310</v>
      </c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>
        <v>1310</v>
      </c>
      <c r="AQ270" s="11"/>
      <c r="AR270" s="11"/>
      <c r="AS270" s="11"/>
      <c r="AT270" s="20" t="str">
        <f>HYPERLINK("http://www.openstreetmap.org/?mlat=34.0809&amp;mlon=44.9532&amp;zoom=12#map=12/34.0809/44.9532","Maplink1")</f>
        <v>Maplink1</v>
      </c>
      <c r="AU270" s="20" t="str">
        <f>HYPERLINK("https://www.google.iq/maps/search/+34.0809,44.9532/@34.0809,44.9532,14z?hl=en","Maplink2")</f>
        <v>Maplink2</v>
      </c>
      <c r="AV270" s="20" t="str">
        <f>HYPERLINK("http://www.bing.com/maps/?lvl=14&amp;sty=h&amp;cp=34.0809~44.9532&amp;sp=point.34.0809_44.9532","Maplink3")</f>
        <v>Maplink3</v>
      </c>
    </row>
    <row r="271" spans="1:48" x14ac:dyDescent="0.25">
      <c r="A271" s="9">
        <v>27168</v>
      </c>
      <c r="B271" s="10" t="s">
        <v>13</v>
      </c>
      <c r="C271" s="10" t="s">
        <v>465</v>
      </c>
      <c r="D271" s="10" t="s">
        <v>613</v>
      </c>
      <c r="E271" s="10" t="s">
        <v>614</v>
      </c>
      <c r="F271" s="10">
        <v>34.113699539999999</v>
      </c>
      <c r="G271" s="10">
        <v>44.505915600000002</v>
      </c>
      <c r="H271" s="11">
        <v>10</v>
      </c>
      <c r="I271" s="11">
        <v>60</v>
      </c>
      <c r="J271" s="11"/>
      <c r="K271" s="11"/>
      <c r="L271" s="11"/>
      <c r="M271" s="11"/>
      <c r="N271" s="11"/>
      <c r="O271" s="11"/>
      <c r="P271" s="11"/>
      <c r="Q271" s="11"/>
      <c r="R271" s="11">
        <v>10</v>
      </c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>
        <v>10</v>
      </c>
      <c r="AE271" s="11"/>
      <c r="AF271" s="11"/>
      <c r="AG271" s="11"/>
      <c r="AH271" s="11"/>
      <c r="AI271" s="11"/>
      <c r="AJ271" s="11"/>
      <c r="AK271" s="11"/>
      <c r="AL271" s="11"/>
      <c r="AM271" s="11"/>
      <c r="AN271" s="11">
        <v>10</v>
      </c>
      <c r="AO271" s="11"/>
      <c r="AP271" s="11"/>
      <c r="AQ271" s="11"/>
      <c r="AR271" s="11"/>
      <c r="AS271" s="11"/>
      <c r="AT271" s="20" t="str">
        <f>HYPERLINK("http://www.openstreetmap.org/?mlat=34.1137&amp;mlon=44.5059&amp;zoom=12#map=12/34.1137/44.5059","Maplink1")</f>
        <v>Maplink1</v>
      </c>
      <c r="AU271" s="20" t="str">
        <f>HYPERLINK("https://www.google.iq/maps/search/+34.1137,44.5059/@34.1137,44.5059,14z?hl=en","Maplink2")</f>
        <v>Maplink2</v>
      </c>
      <c r="AV271" s="20" t="str">
        <f>HYPERLINK("http://www.bing.com/maps/?lvl=14&amp;sty=h&amp;cp=34.1137~44.5059&amp;sp=point.34.1137_44.5059","Maplink3")</f>
        <v>Maplink3</v>
      </c>
    </row>
    <row r="272" spans="1:48" x14ac:dyDescent="0.25">
      <c r="A272" s="9">
        <v>25682</v>
      </c>
      <c r="B272" s="10" t="s">
        <v>13</v>
      </c>
      <c r="C272" s="10" t="s">
        <v>465</v>
      </c>
      <c r="D272" s="10" t="s">
        <v>615</v>
      </c>
      <c r="E272" s="10" t="s">
        <v>616</v>
      </c>
      <c r="F272" s="10">
        <v>34.045498089799999</v>
      </c>
      <c r="G272" s="10">
        <v>44.882053769099997</v>
      </c>
      <c r="H272" s="11">
        <v>250</v>
      </c>
      <c r="I272" s="11">
        <v>1500</v>
      </c>
      <c r="J272" s="11"/>
      <c r="K272" s="11"/>
      <c r="L272" s="11"/>
      <c r="M272" s="11"/>
      <c r="N272" s="11"/>
      <c r="O272" s="11">
        <v>130</v>
      </c>
      <c r="P272" s="11"/>
      <c r="Q272" s="11"/>
      <c r="R272" s="11">
        <v>60</v>
      </c>
      <c r="S272" s="11"/>
      <c r="T272" s="11"/>
      <c r="U272" s="11"/>
      <c r="V272" s="11"/>
      <c r="W272" s="11"/>
      <c r="X272" s="11"/>
      <c r="Y272" s="11">
        <v>60</v>
      </c>
      <c r="Z272" s="11"/>
      <c r="AA272" s="11"/>
      <c r="AB272" s="11"/>
      <c r="AC272" s="11">
        <v>250</v>
      </c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>
        <v>250</v>
      </c>
      <c r="AQ272" s="11"/>
      <c r="AR272" s="11"/>
      <c r="AS272" s="11"/>
      <c r="AT272" s="20" t="str">
        <f>HYPERLINK("http://www.openstreetmap.org/?mlat=34.0455&amp;mlon=44.8821&amp;zoom=12#map=12/34.0455/44.8821","Maplink1")</f>
        <v>Maplink1</v>
      </c>
      <c r="AU272" s="20" t="str">
        <f>HYPERLINK("https://www.google.iq/maps/search/+34.0455,44.8821/@34.0455,44.8821,14z?hl=en","Maplink2")</f>
        <v>Maplink2</v>
      </c>
      <c r="AV272" s="20" t="str">
        <f>HYPERLINK("http://www.bing.com/maps/?lvl=14&amp;sty=h&amp;cp=34.0455~44.8821&amp;sp=point.34.0455_44.8821","Maplink3")</f>
        <v>Maplink3</v>
      </c>
    </row>
    <row r="273" spans="1:48" x14ac:dyDescent="0.25">
      <c r="A273" s="9">
        <v>25683</v>
      </c>
      <c r="B273" s="10" t="s">
        <v>13</v>
      </c>
      <c r="C273" s="10" t="s">
        <v>465</v>
      </c>
      <c r="D273" s="10" t="s">
        <v>617</v>
      </c>
      <c r="E273" s="10" t="s">
        <v>618</v>
      </c>
      <c r="F273" s="10">
        <v>34.034905369999997</v>
      </c>
      <c r="G273" s="10">
        <v>44.874784589999997</v>
      </c>
      <c r="H273" s="11">
        <v>200</v>
      </c>
      <c r="I273" s="11">
        <v>1200</v>
      </c>
      <c r="J273" s="11"/>
      <c r="K273" s="11"/>
      <c r="L273" s="11"/>
      <c r="M273" s="11"/>
      <c r="N273" s="11"/>
      <c r="O273" s="11">
        <v>126</v>
      </c>
      <c r="P273" s="11"/>
      <c r="Q273" s="11"/>
      <c r="R273" s="11">
        <v>35</v>
      </c>
      <c r="S273" s="11"/>
      <c r="T273" s="11"/>
      <c r="U273" s="11"/>
      <c r="V273" s="11"/>
      <c r="W273" s="11"/>
      <c r="X273" s="11"/>
      <c r="Y273" s="11">
        <v>39</v>
      </c>
      <c r="Z273" s="11"/>
      <c r="AA273" s="11"/>
      <c r="AB273" s="11"/>
      <c r="AC273" s="11">
        <v>200</v>
      </c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>
        <v>200</v>
      </c>
      <c r="AQ273" s="11"/>
      <c r="AR273" s="11"/>
      <c r="AS273" s="11"/>
      <c r="AT273" s="20" t="str">
        <f>HYPERLINK("http://www.openstreetmap.org/?mlat=34.0349&amp;mlon=44.8748&amp;zoom=12#map=12/34.0349/44.8748","Maplink1")</f>
        <v>Maplink1</v>
      </c>
      <c r="AU273" s="20" t="str">
        <f>HYPERLINK("https://www.google.iq/maps/search/+34.0349,44.8748/@34.0349,44.8748,14z?hl=en","Maplink2")</f>
        <v>Maplink2</v>
      </c>
      <c r="AV273" s="20" t="str">
        <f>HYPERLINK("http://www.bing.com/maps/?lvl=14&amp;sty=h&amp;cp=34.0349~44.8748&amp;sp=point.34.0349_44.8748","Maplink3")</f>
        <v>Maplink3</v>
      </c>
    </row>
    <row r="274" spans="1:48" x14ac:dyDescent="0.25">
      <c r="A274" s="9">
        <v>25684</v>
      </c>
      <c r="B274" s="10" t="s">
        <v>13</v>
      </c>
      <c r="C274" s="10" t="s">
        <v>465</v>
      </c>
      <c r="D274" s="10" t="s">
        <v>619</v>
      </c>
      <c r="E274" s="10" t="s">
        <v>620</v>
      </c>
      <c r="F274" s="10">
        <v>34.039342380000001</v>
      </c>
      <c r="G274" s="10">
        <v>44.879890009999997</v>
      </c>
      <c r="H274" s="11">
        <v>190</v>
      </c>
      <c r="I274" s="11">
        <v>1140</v>
      </c>
      <c r="J274" s="11"/>
      <c r="K274" s="11"/>
      <c r="L274" s="11"/>
      <c r="M274" s="11"/>
      <c r="N274" s="11"/>
      <c r="O274" s="11">
        <v>190</v>
      </c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>
        <v>190</v>
      </c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>
        <v>190</v>
      </c>
      <c r="AQ274" s="11"/>
      <c r="AR274" s="11"/>
      <c r="AS274" s="11"/>
      <c r="AT274" s="20" t="str">
        <f>HYPERLINK("http://www.openstreetmap.org/?mlat=34.0393&amp;mlon=44.8799&amp;zoom=12#map=12/34.0393/44.8799","Maplink1")</f>
        <v>Maplink1</v>
      </c>
      <c r="AU274" s="20" t="str">
        <f>HYPERLINK("https://www.google.iq/maps/search/+34.0393,44.8799/@34.0393,44.8799,14z?hl=en","Maplink2")</f>
        <v>Maplink2</v>
      </c>
      <c r="AV274" s="20" t="str">
        <f>HYPERLINK("http://www.bing.com/maps/?lvl=14&amp;sty=h&amp;cp=34.0393~44.8799&amp;sp=point.34.0393_44.8799","Maplink3")</f>
        <v>Maplink3</v>
      </c>
    </row>
    <row r="275" spans="1:48" x14ac:dyDescent="0.25">
      <c r="A275" s="9">
        <v>27184</v>
      </c>
      <c r="B275" s="10" t="s">
        <v>13</v>
      </c>
      <c r="C275" s="10" t="s">
        <v>465</v>
      </c>
      <c r="D275" s="10" t="s">
        <v>621</v>
      </c>
      <c r="E275" s="10" t="s">
        <v>622</v>
      </c>
      <c r="F275" s="10">
        <v>34.209923646199996</v>
      </c>
      <c r="G275" s="10">
        <v>44.525292161499998</v>
      </c>
      <c r="H275" s="11">
        <v>22</v>
      </c>
      <c r="I275" s="11">
        <v>132</v>
      </c>
      <c r="J275" s="11"/>
      <c r="K275" s="11"/>
      <c r="L275" s="11"/>
      <c r="M275" s="11"/>
      <c r="N275" s="11"/>
      <c r="O275" s="11"/>
      <c r="P275" s="11"/>
      <c r="Q275" s="11"/>
      <c r="R275" s="11">
        <v>22</v>
      </c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>
        <v>22</v>
      </c>
      <c r="AE275" s="11"/>
      <c r="AF275" s="11"/>
      <c r="AG275" s="11"/>
      <c r="AH275" s="11"/>
      <c r="AI275" s="11"/>
      <c r="AJ275" s="11"/>
      <c r="AK275" s="11"/>
      <c r="AL275" s="11"/>
      <c r="AM275" s="11"/>
      <c r="AN275" s="11">
        <v>22</v>
      </c>
      <c r="AO275" s="11"/>
      <c r="AP275" s="11"/>
      <c r="AQ275" s="11"/>
      <c r="AR275" s="11"/>
      <c r="AS275" s="11"/>
      <c r="AT275" s="20" t="str">
        <f>HYPERLINK("http://www.openstreetmap.org/?mlat=34.2099&amp;mlon=44.5253&amp;zoom=12#map=12/34.2099/44.5253","Maplink1")</f>
        <v>Maplink1</v>
      </c>
      <c r="AU275" s="20" t="str">
        <f>HYPERLINK("https://www.google.iq/maps/search/+34.2099,44.5253/@34.2099,44.5253,14z?hl=en","Maplink2")</f>
        <v>Maplink2</v>
      </c>
      <c r="AV275" s="20" t="str">
        <f>HYPERLINK("http://www.bing.com/maps/?lvl=14&amp;sty=h&amp;cp=34.2099~44.5253&amp;sp=point.34.2099_44.5253","Maplink3")</f>
        <v>Maplink3</v>
      </c>
    </row>
    <row r="276" spans="1:48" x14ac:dyDescent="0.25">
      <c r="A276" s="9">
        <v>27175</v>
      </c>
      <c r="B276" s="10" t="s">
        <v>13</v>
      </c>
      <c r="C276" s="10" t="s">
        <v>465</v>
      </c>
      <c r="D276" s="10" t="s">
        <v>623</v>
      </c>
      <c r="E276" s="10" t="s">
        <v>624</v>
      </c>
      <c r="F276" s="10">
        <v>34.034625090200002</v>
      </c>
      <c r="G276" s="10">
        <v>44.3173316321</v>
      </c>
      <c r="H276" s="11">
        <v>60</v>
      </c>
      <c r="I276" s="11">
        <v>360</v>
      </c>
      <c r="J276" s="11"/>
      <c r="K276" s="11"/>
      <c r="L276" s="11"/>
      <c r="M276" s="11"/>
      <c r="N276" s="11"/>
      <c r="O276" s="11"/>
      <c r="P276" s="11"/>
      <c r="Q276" s="11"/>
      <c r="R276" s="11">
        <v>60</v>
      </c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>
        <v>60</v>
      </c>
      <c r="AE276" s="11"/>
      <c r="AF276" s="11"/>
      <c r="AG276" s="11"/>
      <c r="AH276" s="11"/>
      <c r="AI276" s="11"/>
      <c r="AJ276" s="11"/>
      <c r="AK276" s="11"/>
      <c r="AL276" s="11"/>
      <c r="AM276" s="11"/>
      <c r="AN276" s="11">
        <v>60</v>
      </c>
      <c r="AO276" s="11"/>
      <c r="AP276" s="11"/>
      <c r="AQ276" s="11"/>
      <c r="AR276" s="11"/>
      <c r="AS276" s="11"/>
      <c r="AT276" s="20" t="str">
        <f>HYPERLINK("http://www.openstreetmap.org/?mlat=34.0346&amp;mlon=44.3173&amp;zoom=12#map=12/34.0346/44.3173","Maplink1")</f>
        <v>Maplink1</v>
      </c>
      <c r="AU276" s="20" t="str">
        <f>HYPERLINK("https://www.google.iq/maps/search/+34.0346,44.3173/@34.0346,44.3173,14z?hl=en","Maplink2")</f>
        <v>Maplink2</v>
      </c>
      <c r="AV276" s="20" t="str">
        <f>HYPERLINK("http://www.bing.com/maps/?lvl=14&amp;sty=h&amp;cp=34.0346~44.3173&amp;sp=point.34.0346_44.3173","Maplink3")</f>
        <v>Maplink3</v>
      </c>
    </row>
    <row r="277" spans="1:48" x14ac:dyDescent="0.25">
      <c r="A277" s="9">
        <v>27161</v>
      </c>
      <c r="B277" s="10" t="s">
        <v>13</v>
      </c>
      <c r="C277" s="10" t="s">
        <v>465</v>
      </c>
      <c r="D277" s="10" t="s">
        <v>625</v>
      </c>
      <c r="E277" s="10" t="s">
        <v>626</v>
      </c>
      <c r="F277" s="10">
        <v>34.360361213799997</v>
      </c>
      <c r="G277" s="10">
        <v>44.610217867400003</v>
      </c>
      <c r="H277" s="11">
        <v>101</v>
      </c>
      <c r="I277" s="11">
        <v>606</v>
      </c>
      <c r="J277" s="11"/>
      <c r="K277" s="11"/>
      <c r="L277" s="11"/>
      <c r="M277" s="11"/>
      <c r="N277" s="11"/>
      <c r="O277" s="11"/>
      <c r="P277" s="11"/>
      <c r="Q277" s="11"/>
      <c r="R277" s="11">
        <v>101</v>
      </c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>
        <v>101</v>
      </c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>
        <v>101</v>
      </c>
      <c r="AO277" s="11"/>
      <c r="AP277" s="11"/>
      <c r="AQ277" s="11"/>
      <c r="AR277" s="11"/>
      <c r="AS277" s="11"/>
      <c r="AT277" s="20" t="str">
        <f>HYPERLINK("http://www.openstreetmap.org/?mlat=34.3604&amp;mlon=44.6102&amp;zoom=12#map=12/34.3604/44.6102","Maplink1")</f>
        <v>Maplink1</v>
      </c>
      <c r="AU277" s="20" t="str">
        <f>HYPERLINK("https://www.google.iq/maps/search/+34.3604,44.6102/@34.3604,44.6102,14z?hl=en","Maplink2")</f>
        <v>Maplink2</v>
      </c>
      <c r="AV277" s="20" t="str">
        <f>HYPERLINK("http://www.bing.com/maps/?lvl=14&amp;sty=h&amp;cp=34.3604~44.6102&amp;sp=point.34.3604_44.6102","Maplink3")</f>
        <v>Maplink3</v>
      </c>
    </row>
    <row r="278" spans="1:48" x14ac:dyDescent="0.25">
      <c r="A278" s="9">
        <v>28470</v>
      </c>
      <c r="B278" s="10" t="s">
        <v>13</v>
      </c>
      <c r="C278" s="10" t="s">
        <v>465</v>
      </c>
      <c r="D278" s="10" t="s">
        <v>627</v>
      </c>
      <c r="E278" s="10" t="s">
        <v>628</v>
      </c>
      <c r="F278" s="10">
        <v>34.048256996500001</v>
      </c>
      <c r="G278" s="10">
        <v>44.5420472729</v>
      </c>
      <c r="H278" s="11">
        <v>43</v>
      </c>
      <c r="I278" s="11">
        <v>258</v>
      </c>
      <c r="J278" s="11"/>
      <c r="K278" s="11"/>
      <c r="L278" s="11"/>
      <c r="M278" s="11"/>
      <c r="N278" s="11"/>
      <c r="O278" s="11">
        <v>43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>
        <v>43</v>
      </c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>
        <v>43</v>
      </c>
      <c r="AO278" s="11"/>
      <c r="AP278" s="11"/>
      <c r="AQ278" s="11"/>
      <c r="AR278" s="11"/>
      <c r="AS278" s="11"/>
      <c r="AT278" s="20" t="str">
        <f>HYPERLINK("http://www.openstreetmap.org/?mlat=34.0483&amp;mlon=44.542&amp;zoom=12#map=12/34.0483/44.542","Maplink1")</f>
        <v>Maplink1</v>
      </c>
      <c r="AU278" s="20" t="str">
        <f>HYPERLINK("https://www.google.iq/maps/search/+34.0483,44.542/@34.0483,44.542,14z?hl=en","Maplink2")</f>
        <v>Maplink2</v>
      </c>
      <c r="AV278" s="20" t="str">
        <f>HYPERLINK("http://www.bing.com/maps/?lvl=14&amp;sty=h&amp;cp=34.0483~44.542&amp;sp=point.34.0483_44.542","Maplink3")</f>
        <v>Maplink3</v>
      </c>
    </row>
    <row r="279" spans="1:48" x14ac:dyDescent="0.25">
      <c r="A279" s="9">
        <v>27169</v>
      </c>
      <c r="B279" s="10" t="s">
        <v>13</v>
      </c>
      <c r="C279" s="10" t="s">
        <v>465</v>
      </c>
      <c r="D279" s="10" t="s">
        <v>629</v>
      </c>
      <c r="E279" s="10" t="s">
        <v>630</v>
      </c>
      <c r="F279" s="10">
        <v>34.146352329999999</v>
      </c>
      <c r="G279" s="10">
        <v>44.49132899</v>
      </c>
      <c r="H279" s="11">
        <v>7</v>
      </c>
      <c r="I279" s="11">
        <v>42</v>
      </c>
      <c r="J279" s="11"/>
      <c r="K279" s="11"/>
      <c r="L279" s="11"/>
      <c r="M279" s="11"/>
      <c r="N279" s="11"/>
      <c r="O279" s="11"/>
      <c r="P279" s="11"/>
      <c r="Q279" s="11"/>
      <c r="R279" s="11">
        <v>7</v>
      </c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>
        <v>7</v>
      </c>
      <c r="AE279" s="11"/>
      <c r="AF279" s="11"/>
      <c r="AG279" s="11"/>
      <c r="AH279" s="11"/>
      <c r="AI279" s="11"/>
      <c r="AJ279" s="11"/>
      <c r="AK279" s="11"/>
      <c r="AL279" s="11"/>
      <c r="AM279" s="11"/>
      <c r="AN279" s="11">
        <v>7</v>
      </c>
      <c r="AO279" s="11"/>
      <c r="AP279" s="11"/>
      <c r="AQ279" s="11"/>
      <c r="AR279" s="11"/>
      <c r="AS279" s="11"/>
      <c r="AT279" s="20" t="str">
        <f>HYPERLINK("http://www.openstreetmap.org/?mlat=34.1464&amp;mlon=44.4913&amp;zoom=12#map=12/34.1464/44.4913","Maplink1")</f>
        <v>Maplink1</v>
      </c>
      <c r="AU279" s="20" t="str">
        <f>HYPERLINK("https://www.google.iq/maps/search/+34.1464,44.4913/@34.1464,44.4913,14z?hl=en","Maplink2")</f>
        <v>Maplink2</v>
      </c>
      <c r="AV279" s="20" t="str">
        <f>HYPERLINK("http://www.bing.com/maps/?lvl=14&amp;sty=h&amp;cp=34.1464~44.4913&amp;sp=point.34.1464_44.4913","Maplink3")</f>
        <v>Maplink3</v>
      </c>
    </row>
    <row r="280" spans="1:48" x14ac:dyDescent="0.25">
      <c r="A280" s="9">
        <v>25669</v>
      </c>
      <c r="B280" s="10" t="s">
        <v>13</v>
      </c>
      <c r="C280" s="10" t="s">
        <v>465</v>
      </c>
      <c r="D280" s="10" t="s">
        <v>631</v>
      </c>
      <c r="E280" s="10" t="s">
        <v>632</v>
      </c>
      <c r="F280" s="10">
        <v>34.056919020000002</v>
      </c>
      <c r="G280" s="10">
        <v>44.88446184</v>
      </c>
      <c r="H280" s="11">
        <v>200</v>
      </c>
      <c r="I280" s="11">
        <v>1200</v>
      </c>
      <c r="J280" s="11"/>
      <c r="K280" s="11"/>
      <c r="L280" s="11"/>
      <c r="M280" s="11"/>
      <c r="N280" s="11"/>
      <c r="O280" s="11">
        <v>83</v>
      </c>
      <c r="P280" s="11"/>
      <c r="Q280" s="11"/>
      <c r="R280" s="11">
        <v>45</v>
      </c>
      <c r="S280" s="11"/>
      <c r="T280" s="11"/>
      <c r="U280" s="11"/>
      <c r="V280" s="11"/>
      <c r="W280" s="11"/>
      <c r="X280" s="11"/>
      <c r="Y280" s="11">
        <v>72</v>
      </c>
      <c r="Z280" s="11"/>
      <c r="AA280" s="11"/>
      <c r="AB280" s="11"/>
      <c r="AC280" s="11">
        <v>200</v>
      </c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>
        <v>200</v>
      </c>
      <c r="AQ280" s="11"/>
      <c r="AR280" s="11"/>
      <c r="AS280" s="11"/>
      <c r="AT280" s="20" t="str">
        <f>HYPERLINK("http://www.openstreetmap.org/?mlat=34.0569&amp;mlon=44.8845&amp;zoom=12#map=12/34.0569/44.8845","Maplink1")</f>
        <v>Maplink1</v>
      </c>
      <c r="AU280" s="20" t="str">
        <f>HYPERLINK("https://www.google.iq/maps/search/+34.0569,44.8845/@34.0569,44.8845,14z?hl=en","Maplink2")</f>
        <v>Maplink2</v>
      </c>
      <c r="AV280" s="20" t="str">
        <f>HYPERLINK("http://www.bing.com/maps/?lvl=14&amp;sty=h&amp;cp=34.0569~44.8845&amp;sp=point.34.0569_44.8845","Maplink3")</f>
        <v>Maplink3</v>
      </c>
    </row>
    <row r="281" spans="1:48" x14ac:dyDescent="0.25">
      <c r="A281" s="9">
        <v>11270</v>
      </c>
      <c r="B281" s="10" t="s">
        <v>13</v>
      </c>
      <c r="C281" s="10" t="s">
        <v>465</v>
      </c>
      <c r="D281" s="10" t="s">
        <v>633</v>
      </c>
      <c r="E281" s="10" t="s">
        <v>634</v>
      </c>
      <c r="F281" s="10">
        <v>34.36468541</v>
      </c>
      <c r="G281" s="10">
        <v>44.601793209999997</v>
      </c>
      <c r="H281" s="11">
        <v>100</v>
      </c>
      <c r="I281" s="11">
        <v>600</v>
      </c>
      <c r="J281" s="11"/>
      <c r="K281" s="11"/>
      <c r="L281" s="11"/>
      <c r="M281" s="11"/>
      <c r="N281" s="11"/>
      <c r="O281" s="11"/>
      <c r="P281" s="11"/>
      <c r="Q281" s="11"/>
      <c r="R281" s="11">
        <v>100</v>
      </c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>
        <v>100</v>
      </c>
      <c r="AE281" s="11"/>
      <c r="AF281" s="11"/>
      <c r="AG281" s="11"/>
      <c r="AH281" s="11"/>
      <c r="AI281" s="11"/>
      <c r="AJ281" s="11"/>
      <c r="AK281" s="11"/>
      <c r="AL281" s="11"/>
      <c r="AM281" s="11"/>
      <c r="AN281" s="11">
        <v>100</v>
      </c>
      <c r="AO281" s="11"/>
      <c r="AP281" s="11"/>
      <c r="AQ281" s="11"/>
      <c r="AR281" s="11"/>
      <c r="AS281" s="11"/>
      <c r="AT281" s="20" t="str">
        <f>HYPERLINK("http://www.openstreetmap.org/?mlat=34.3647&amp;mlon=44.6018&amp;zoom=12#map=12/34.3647/44.6018","Maplink1")</f>
        <v>Maplink1</v>
      </c>
      <c r="AU281" s="20" t="str">
        <f>HYPERLINK("https://www.google.iq/maps/search/+34.3647,44.6018/@34.3647,44.6018,14z?hl=en","Maplink2")</f>
        <v>Maplink2</v>
      </c>
      <c r="AV281" s="20" t="str">
        <f>HYPERLINK("http://www.bing.com/maps/?lvl=14&amp;sty=h&amp;cp=34.3647~44.6018&amp;sp=point.34.3647_44.6018","Maplink3")</f>
        <v>Maplink3</v>
      </c>
    </row>
    <row r="282" spans="1:48" x14ac:dyDescent="0.25">
      <c r="A282" s="9">
        <v>27180</v>
      </c>
      <c r="B282" s="10" t="s">
        <v>13</v>
      </c>
      <c r="C282" s="10" t="s">
        <v>465</v>
      </c>
      <c r="D282" s="10" t="s">
        <v>635</v>
      </c>
      <c r="E282" s="10" t="s">
        <v>636</v>
      </c>
      <c r="F282" s="10">
        <v>34.211755480000001</v>
      </c>
      <c r="G282" s="10">
        <v>44.48603335</v>
      </c>
      <c r="H282" s="11">
        <v>140</v>
      </c>
      <c r="I282" s="11">
        <v>840</v>
      </c>
      <c r="J282" s="11"/>
      <c r="K282" s="11"/>
      <c r="L282" s="11"/>
      <c r="M282" s="11"/>
      <c r="N282" s="11"/>
      <c r="O282" s="11">
        <v>60</v>
      </c>
      <c r="P282" s="11"/>
      <c r="Q282" s="11"/>
      <c r="R282" s="11">
        <v>80</v>
      </c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>
        <v>140</v>
      </c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>
        <v>140</v>
      </c>
      <c r="AO282" s="11"/>
      <c r="AP282" s="11"/>
      <c r="AQ282" s="11"/>
      <c r="AR282" s="11"/>
      <c r="AS282" s="11"/>
      <c r="AT282" s="20" t="str">
        <f>HYPERLINK("http://www.openstreetmap.org/?mlat=34.2118&amp;mlon=44.486&amp;zoom=12#map=12/34.2118/44.486","Maplink1")</f>
        <v>Maplink1</v>
      </c>
      <c r="AU282" s="20" t="str">
        <f>HYPERLINK("https://www.google.iq/maps/search/+34.2118,44.486/@34.2118,44.486,14z?hl=en","Maplink2")</f>
        <v>Maplink2</v>
      </c>
      <c r="AV282" s="20" t="str">
        <f>HYPERLINK("http://www.bing.com/maps/?lvl=14&amp;sty=h&amp;cp=34.2118~44.486&amp;sp=point.34.2118_44.486","Maplink3")</f>
        <v>Maplink3</v>
      </c>
    </row>
    <row r="283" spans="1:48" x14ac:dyDescent="0.25">
      <c r="A283" s="9">
        <v>26030</v>
      </c>
      <c r="B283" s="10" t="s">
        <v>13</v>
      </c>
      <c r="C283" s="10" t="s">
        <v>637</v>
      </c>
      <c r="D283" s="10" t="s">
        <v>638</v>
      </c>
      <c r="E283" s="10" t="s">
        <v>639</v>
      </c>
      <c r="F283" s="10">
        <v>34.030996978399997</v>
      </c>
      <c r="G283" s="10">
        <v>44.945478252999997</v>
      </c>
      <c r="H283" s="11">
        <v>169</v>
      </c>
      <c r="I283" s="11">
        <v>1014</v>
      </c>
      <c r="J283" s="11"/>
      <c r="K283" s="11"/>
      <c r="L283" s="11"/>
      <c r="M283" s="11"/>
      <c r="N283" s="11"/>
      <c r="O283" s="11">
        <v>169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>
        <v>39</v>
      </c>
      <c r="AD283" s="11"/>
      <c r="AE283" s="11"/>
      <c r="AF283" s="11"/>
      <c r="AG283" s="11"/>
      <c r="AH283" s="11"/>
      <c r="AI283" s="11"/>
      <c r="AJ283" s="11"/>
      <c r="AK283" s="11">
        <v>130</v>
      </c>
      <c r="AL283" s="11"/>
      <c r="AM283" s="11"/>
      <c r="AN283" s="11"/>
      <c r="AO283" s="11"/>
      <c r="AP283" s="11">
        <v>169</v>
      </c>
      <c r="AQ283" s="11"/>
      <c r="AR283" s="11"/>
      <c r="AS283" s="11"/>
      <c r="AT283" s="20" t="str">
        <f>HYPERLINK("http://www.openstreetmap.org/?mlat=34.031&amp;mlon=44.9455&amp;zoom=12#map=12/34.031/44.9455","Maplink1")</f>
        <v>Maplink1</v>
      </c>
      <c r="AU283" s="20" t="str">
        <f>HYPERLINK("https://www.google.iq/maps/search/+34.031,44.9455/@34.031,44.9455,14z?hl=en","Maplink2")</f>
        <v>Maplink2</v>
      </c>
      <c r="AV283" s="20" t="str">
        <f>HYPERLINK("http://www.bing.com/maps/?lvl=14&amp;sty=h&amp;cp=34.031~44.9455&amp;sp=point.34.031_44.9455","Maplink3")</f>
        <v>Maplink3</v>
      </c>
    </row>
    <row r="284" spans="1:48" x14ac:dyDescent="0.25">
      <c r="A284" s="9">
        <v>11358</v>
      </c>
      <c r="B284" s="10" t="s">
        <v>13</v>
      </c>
      <c r="C284" s="10" t="s">
        <v>637</v>
      </c>
      <c r="D284" s="10" t="s">
        <v>640</v>
      </c>
      <c r="E284" s="10" t="s">
        <v>641</v>
      </c>
      <c r="F284" s="10">
        <v>34.030392921999997</v>
      </c>
      <c r="G284" s="10">
        <v>44.944363330000002</v>
      </c>
      <c r="H284" s="11">
        <v>110</v>
      </c>
      <c r="I284" s="11">
        <v>660</v>
      </c>
      <c r="J284" s="11"/>
      <c r="K284" s="11"/>
      <c r="L284" s="11">
        <v>10</v>
      </c>
      <c r="M284" s="11"/>
      <c r="N284" s="11"/>
      <c r="O284" s="11">
        <v>100</v>
      </c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>
        <v>110</v>
      </c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>
        <v>110</v>
      </c>
      <c r="AO284" s="11"/>
      <c r="AP284" s="11"/>
      <c r="AQ284" s="11"/>
      <c r="AR284" s="11"/>
      <c r="AS284" s="11"/>
      <c r="AT284" s="20" t="str">
        <f>HYPERLINK("http://www.openstreetmap.org/?mlat=34.0304&amp;mlon=44.9444&amp;zoom=12#map=12/34.0304/44.9444","Maplink1")</f>
        <v>Maplink1</v>
      </c>
      <c r="AU284" s="20" t="str">
        <f>HYPERLINK("https://www.google.iq/maps/search/+34.0304,44.9444/@34.0304,44.9444,14z?hl=en","Maplink2")</f>
        <v>Maplink2</v>
      </c>
      <c r="AV284" s="20" t="str">
        <f>HYPERLINK("http://www.bing.com/maps/?lvl=14&amp;sty=h&amp;cp=34.0304~44.9444&amp;sp=point.34.0304_44.9444","Maplink3")</f>
        <v>Maplink3</v>
      </c>
    </row>
    <row r="285" spans="1:48" x14ac:dyDescent="0.25">
      <c r="A285" s="9">
        <v>25657</v>
      </c>
      <c r="B285" s="10" t="s">
        <v>13</v>
      </c>
      <c r="C285" s="10" t="s">
        <v>637</v>
      </c>
      <c r="D285" s="10" t="s">
        <v>642</v>
      </c>
      <c r="E285" s="10" t="s">
        <v>643</v>
      </c>
      <c r="F285" s="10">
        <v>34.005390760899999</v>
      </c>
      <c r="G285" s="10">
        <v>44.876882398200003</v>
      </c>
      <c r="H285" s="11">
        <v>205</v>
      </c>
      <c r="I285" s="11">
        <v>1230</v>
      </c>
      <c r="J285" s="11"/>
      <c r="K285" s="11"/>
      <c r="L285" s="11"/>
      <c r="M285" s="11"/>
      <c r="N285" s="11"/>
      <c r="O285" s="11">
        <v>205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>
        <v>105</v>
      </c>
      <c r="AD285" s="11"/>
      <c r="AE285" s="11"/>
      <c r="AF285" s="11"/>
      <c r="AG285" s="11"/>
      <c r="AH285" s="11"/>
      <c r="AI285" s="11"/>
      <c r="AJ285" s="11"/>
      <c r="AK285" s="11">
        <v>100</v>
      </c>
      <c r="AL285" s="11"/>
      <c r="AM285" s="11"/>
      <c r="AN285" s="11"/>
      <c r="AO285" s="11"/>
      <c r="AP285" s="11">
        <v>205</v>
      </c>
      <c r="AQ285" s="11"/>
      <c r="AR285" s="11"/>
      <c r="AS285" s="11"/>
      <c r="AT285" s="20" t="str">
        <f>HYPERLINK("http://www.openstreetmap.org/?mlat=34.0054&amp;mlon=44.8769&amp;zoom=12#map=12/34.0054/44.8769","Maplink1")</f>
        <v>Maplink1</v>
      </c>
      <c r="AU285" s="20" t="str">
        <f>HYPERLINK("https://www.google.iq/maps/search/+34.0054,44.8769/@34.0054,44.8769,14z?hl=en","Maplink2")</f>
        <v>Maplink2</v>
      </c>
      <c r="AV285" s="20" t="str">
        <f>HYPERLINK("http://www.bing.com/maps/?lvl=14&amp;sty=h&amp;cp=34.0054~44.8769&amp;sp=point.34.0054_44.8769","Maplink3")</f>
        <v>Maplink3</v>
      </c>
    </row>
    <row r="286" spans="1:48" x14ac:dyDescent="0.25">
      <c r="A286" s="9">
        <v>25981</v>
      </c>
      <c r="B286" s="10" t="s">
        <v>13</v>
      </c>
      <c r="C286" s="10" t="s">
        <v>637</v>
      </c>
      <c r="D286" s="10" t="s">
        <v>644</v>
      </c>
      <c r="E286" s="10" t="s">
        <v>645</v>
      </c>
      <c r="F286" s="10">
        <v>34.0302786819</v>
      </c>
      <c r="G286" s="10">
        <v>44.944216706699997</v>
      </c>
      <c r="H286" s="11">
        <v>317</v>
      </c>
      <c r="I286" s="11">
        <v>1902</v>
      </c>
      <c r="J286" s="11"/>
      <c r="K286" s="11"/>
      <c r="L286" s="11"/>
      <c r="M286" s="11"/>
      <c r="N286" s="11"/>
      <c r="O286" s="11">
        <v>235</v>
      </c>
      <c r="P286" s="11"/>
      <c r="Q286" s="11"/>
      <c r="R286" s="11">
        <v>82</v>
      </c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>
        <v>156</v>
      </c>
      <c r="AD286" s="11"/>
      <c r="AE286" s="11"/>
      <c r="AF286" s="11"/>
      <c r="AG286" s="11"/>
      <c r="AH286" s="11"/>
      <c r="AI286" s="11"/>
      <c r="AJ286" s="11"/>
      <c r="AK286" s="11">
        <v>161</v>
      </c>
      <c r="AL286" s="11"/>
      <c r="AM286" s="11"/>
      <c r="AN286" s="11">
        <v>70</v>
      </c>
      <c r="AO286" s="11"/>
      <c r="AP286" s="11">
        <v>247</v>
      </c>
      <c r="AQ286" s="11"/>
      <c r="AR286" s="11"/>
      <c r="AS286" s="11"/>
      <c r="AT286" s="20" t="str">
        <f>HYPERLINK("http://www.openstreetmap.org/?mlat=34.0303&amp;mlon=44.9442&amp;zoom=12#map=12/34.0303/44.9442","Maplink1")</f>
        <v>Maplink1</v>
      </c>
      <c r="AU286" s="20" t="str">
        <f>HYPERLINK("https://www.google.iq/maps/search/+34.0303,44.9442/@34.0303,44.9442,14z?hl=en","Maplink2")</f>
        <v>Maplink2</v>
      </c>
      <c r="AV286" s="20" t="str">
        <f>HYPERLINK("http://www.bing.com/maps/?lvl=14&amp;sty=h&amp;cp=34.0303~44.9442&amp;sp=point.34.0303_44.9442","Maplink3")</f>
        <v>Maplink3</v>
      </c>
    </row>
    <row r="287" spans="1:48" x14ac:dyDescent="0.25">
      <c r="A287" s="9">
        <v>29674</v>
      </c>
      <c r="B287" s="10" t="s">
        <v>13</v>
      </c>
      <c r="C287" s="10" t="s">
        <v>637</v>
      </c>
      <c r="D287" s="10" t="s">
        <v>473</v>
      </c>
      <c r="E287" s="10" t="s">
        <v>474</v>
      </c>
      <c r="F287" s="10">
        <v>34.008339999999997</v>
      </c>
      <c r="G287" s="10">
        <v>44.894758000000003</v>
      </c>
      <c r="H287" s="11">
        <v>51</v>
      </c>
      <c r="I287" s="11">
        <v>306</v>
      </c>
      <c r="J287" s="11"/>
      <c r="K287" s="11"/>
      <c r="L287" s="11">
        <v>9</v>
      </c>
      <c r="M287" s="11"/>
      <c r="N287" s="11"/>
      <c r="O287" s="11">
        <v>42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>
        <v>51</v>
      </c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>
        <v>51</v>
      </c>
      <c r="AO287" s="11"/>
      <c r="AP287" s="11"/>
      <c r="AQ287" s="11"/>
      <c r="AR287" s="11"/>
      <c r="AS287" s="11"/>
      <c r="AT287" s="20" t="str">
        <f>HYPERLINK("http://www.openstreetmap.org/?mlat=34.0083&amp;mlon=44.8948&amp;zoom=12#map=12/34.0083/44.8948","Maplink1")</f>
        <v>Maplink1</v>
      </c>
      <c r="AU287" s="20" t="str">
        <f>HYPERLINK("https://www.google.iq/maps/search/+34.0083,44.8948/@34.0083,44.8948,14z?hl=en","Maplink2")</f>
        <v>Maplink2</v>
      </c>
      <c r="AV287" s="20" t="str">
        <f>HYPERLINK("http://www.bing.com/maps/?lvl=14&amp;sty=h&amp;cp=34.0083~44.8948&amp;sp=point.34.0083_44.8948","Maplink3")</f>
        <v>Maplink3</v>
      </c>
    </row>
    <row r="288" spans="1:48" x14ac:dyDescent="0.25">
      <c r="A288" s="9">
        <v>25660</v>
      </c>
      <c r="B288" s="10" t="s">
        <v>13</v>
      </c>
      <c r="C288" s="10" t="s">
        <v>637</v>
      </c>
      <c r="D288" s="10" t="s">
        <v>646</v>
      </c>
      <c r="E288" s="10" t="s">
        <v>647</v>
      </c>
      <c r="F288" s="10">
        <v>34.015483581399998</v>
      </c>
      <c r="G288" s="10">
        <v>44.909195265400001</v>
      </c>
      <c r="H288" s="11">
        <v>93</v>
      </c>
      <c r="I288" s="11">
        <v>558</v>
      </c>
      <c r="J288" s="11">
        <v>55</v>
      </c>
      <c r="K288" s="11"/>
      <c r="L288" s="11"/>
      <c r="M288" s="11"/>
      <c r="N288" s="11"/>
      <c r="O288" s="11">
        <v>28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>
        <v>10</v>
      </c>
      <c r="Z288" s="11"/>
      <c r="AA288" s="11"/>
      <c r="AB288" s="11"/>
      <c r="AC288" s="11">
        <v>55</v>
      </c>
      <c r="AD288" s="11"/>
      <c r="AE288" s="11"/>
      <c r="AF288" s="11"/>
      <c r="AG288" s="11"/>
      <c r="AH288" s="11"/>
      <c r="AI288" s="11"/>
      <c r="AJ288" s="11"/>
      <c r="AK288" s="11">
        <v>38</v>
      </c>
      <c r="AL288" s="11"/>
      <c r="AM288" s="11"/>
      <c r="AN288" s="11"/>
      <c r="AO288" s="11"/>
      <c r="AP288" s="11">
        <v>93</v>
      </c>
      <c r="AQ288" s="11"/>
      <c r="AR288" s="11"/>
      <c r="AS288" s="11"/>
      <c r="AT288" s="20" t="str">
        <f>HYPERLINK("http://www.openstreetmap.org/?mlat=34.0155&amp;mlon=44.9092&amp;zoom=12#map=12/34.0155/44.9092","Maplink1")</f>
        <v>Maplink1</v>
      </c>
      <c r="AU288" s="20" t="str">
        <f>HYPERLINK("https://www.google.iq/maps/search/+34.0155,44.9092/@34.0155,44.9092,14z?hl=en","Maplink2")</f>
        <v>Maplink2</v>
      </c>
      <c r="AV288" s="20" t="str">
        <f>HYPERLINK("http://www.bing.com/maps/?lvl=14&amp;sty=h&amp;cp=34.0155~44.9092&amp;sp=point.34.0155_44.9092","Maplink3")</f>
        <v>Maplink3</v>
      </c>
    </row>
    <row r="289" spans="1:48" x14ac:dyDescent="0.25">
      <c r="A289" s="9">
        <v>25825</v>
      </c>
      <c r="B289" s="10" t="s">
        <v>13</v>
      </c>
      <c r="C289" s="10" t="s">
        <v>637</v>
      </c>
      <c r="D289" s="10" t="s">
        <v>648</v>
      </c>
      <c r="E289" s="10" t="s">
        <v>649</v>
      </c>
      <c r="F289" s="10">
        <v>34.005345628800001</v>
      </c>
      <c r="G289" s="10">
        <v>44.886483795300002</v>
      </c>
      <c r="H289" s="11">
        <v>56</v>
      </c>
      <c r="I289" s="11">
        <v>336</v>
      </c>
      <c r="J289" s="11"/>
      <c r="K289" s="11"/>
      <c r="L289" s="11"/>
      <c r="M289" s="11"/>
      <c r="N289" s="11"/>
      <c r="O289" s="11">
        <v>51</v>
      </c>
      <c r="P289" s="11"/>
      <c r="Q289" s="11"/>
      <c r="R289" s="11">
        <v>5</v>
      </c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>
        <v>25</v>
      </c>
      <c r="AD289" s="11"/>
      <c r="AE289" s="11"/>
      <c r="AF289" s="11"/>
      <c r="AG289" s="11"/>
      <c r="AH289" s="11"/>
      <c r="AI289" s="11"/>
      <c r="AJ289" s="11"/>
      <c r="AK289" s="11">
        <v>31</v>
      </c>
      <c r="AL289" s="11"/>
      <c r="AM289" s="11"/>
      <c r="AN289" s="11">
        <v>56</v>
      </c>
      <c r="AO289" s="11"/>
      <c r="AP289" s="11"/>
      <c r="AQ289" s="11"/>
      <c r="AR289" s="11"/>
      <c r="AS289" s="11"/>
      <c r="AT289" s="20" t="str">
        <f>HYPERLINK("http://www.openstreetmap.org/?mlat=34.0053&amp;mlon=44.8865&amp;zoom=12#map=12/34.0053/44.8865","Maplink1")</f>
        <v>Maplink1</v>
      </c>
      <c r="AU289" s="20" t="str">
        <f>HYPERLINK("https://www.google.iq/maps/search/+34.0053,44.8865/@34.0053,44.8865,14z?hl=en","Maplink2")</f>
        <v>Maplink2</v>
      </c>
      <c r="AV289" s="20" t="str">
        <f>HYPERLINK("http://www.bing.com/maps/?lvl=14&amp;sty=h&amp;cp=34.0053~44.8865&amp;sp=point.34.0053_44.8865","Maplink3")</f>
        <v>Maplink3</v>
      </c>
    </row>
    <row r="290" spans="1:48" x14ac:dyDescent="0.25">
      <c r="A290" s="9">
        <v>11442</v>
      </c>
      <c r="B290" s="10" t="s">
        <v>13</v>
      </c>
      <c r="C290" s="10" t="s">
        <v>637</v>
      </c>
      <c r="D290" s="10" t="s">
        <v>650</v>
      </c>
      <c r="E290" s="10" t="s">
        <v>651</v>
      </c>
      <c r="F290" s="10">
        <v>34.052563999999997</v>
      </c>
      <c r="G290" s="10">
        <v>44.931249000000001</v>
      </c>
      <c r="H290" s="11">
        <v>381</v>
      </c>
      <c r="I290" s="11">
        <v>2286</v>
      </c>
      <c r="J290" s="11"/>
      <c r="K290" s="11"/>
      <c r="L290" s="11"/>
      <c r="M290" s="11"/>
      <c r="N290" s="11"/>
      <c r="O290" s="11">
        <v>301</v>
      </c>
      <c r="P290" s="11"/>
      <c r="Q290" s="11"/>
      <c r="R290" s="11">
        <v>80</v>
      </c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>
        <v>381</v>
      </c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>
        <v>381</v>
      </c>
      <c r="AO290" s="11"/>
      <c r="AP290" s="11"/>
      <c r="AQ290" s="11"/>
      <c r="AR290" s="11"/>
      <c r="AS290" s="11"/>
      <c r="AT290" s="20" t="str">
        <f>HYPERLINK("http://www.openstreetmap.org/?mlat=34.0526&amp;mlon=44.9312&amp;zoom=12#map=12/34.0526/44.9312","Maplink1")</f>
        <v>Maplink1</v>
      </c>
      <c r="AU290" s="20" t="str">
        <f>HYPERLINK("https://www.google.iq/maps/search/+34.0526,44.9312/@34.0526,44.9312,14z?hl=en","Maplink2")</f>
        <v>Maplink2</v>
      </c>
      <c r="AV290" s="20" t="str">
        <f>HYPERLINK("http://www.bing.com/maps/?lvl=14&amp;sty=h&amp;cp=34.0526~44.9312&amp;sp=point.34.0526_44.9312","Maplink3")</f>
        <v>Maplink3</v>
      </c>
    </row>
    <row r="291" spans="1:48" x14ac:dyDescent="0.25">
      <c r="A291" s="9">
        <v>11329</v>
      </c>
      <c r="B291" s="10" t="s">
        <v>13</v>
      </c>
      <c r="C291" s="10" t="s">
        <v>637</v>
      </c>
      <c r="D291" s="10" t="s">
        <v>652</v>
      </c>
      <c r="E291" s="10" t="s">
        <v>653</v>
      </c>
      <c r="F291" s="10">
        <v>33.9988744045</v>
      </c>
      <c r="G291" s="10">
        <v>44.941114199700003</v>
      </c>
      <c r="H291" s="11">
        <v>50</v>
      </c>
      <c r="I291" s="11">
        <v>300</v>
      </c>
      <c r="J291" s="11"/>
      <c r="K291" s="11"/>
      <c r="L291" s="11"/>
      <c r="M291" s="11"/>
      <c r="N291" s="11"/>
      <c r="O291" s="11">
        <v>30</v>
      </c>
      <c r="P291" s="11"/>
      <c r="Q291" s="11"/>
      <c r="R291" s="11">
        <v>20</v>
      </c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>
        <v>50</v>
      </c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>
        <v>20</v>
      </c>
      <c r="AO291" s="11"/>
      <c r="AP291" s="11">
        <v>30</v>
      </c>
      <c r="AQ291" s="11"/>
      <c r="AR291" s="11"/>
      <c r="AS291" s="11"/>
      <c r="AT291" s="20" t="str">
        <f>HYPERLINK("http://www.openstreetmap.org/?mlat=33.9989&amp;mlon=44.9411&amp;zoom=12#map=12/33.9989/44.9411","Maplink1")</f>
        <v>Maplink1</v>
      </c>
      <c r="AU291" s="20" t="str">
        <f>HYPERLINK("https://www.google.iq/maps/search/+33.9989,44.9411/@33.9989,44.9411,14z?hl=en","Maplink2")</f>
        <v>Maplink2</v>
      </c>
      <c r="AV291" s="20" t="str">
        <f>HYPERLINK("http://www.bing.com/maps/?lvl=14&amp;sty=h&amp;cp=33.9989~44.9411&amp;sp=point.33.9989_44.9411","Maplink3")</f>
        <v>Maplink3</v>
      </c>
    </row>
    <row r="292" spans="1:48" x14ac:dyDescent="0.25">
      <c r="A292" s="9">
        <v>29659</v>
      </c>
      <c r="B292" s="10" t="s">
        <v>13</v>
      </c>
      <c r="C292" s="10" t="s">
        <v>637</v>
      </c>
      <c r="D292" s="10" t="s">
        <v>654</v>
      </c>
      <c r="E292" s="10" t="s">
        <v>655</v>
      </c>
      <c r="F292" s="10">
        <v>34.002205919799998</v>
      </c>
      <c r="G292" s="10">
        <v>44.941315466200003</v>
      </c>
      <c r="H292" s="11">
        <v>57</v>
      </c>
      <c r="I292" s="11">
        <v>342</v>
      </c>
      <c r="J292" s="11"/>
      <c r="K292" s="11"/>
      <c r="L292" s="11"/>
      <c r="M292" s="11"/>
      <c r="N292" s="11"/>
      <c r="O292" s="11">
        <v>27</v>
      </c>
      <c r="P292" s="11"/>
      <c r="Q292" s="11"/>
      <c r="R292" s="11">
        <v>30</v>
      </c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>
        <v>30</v>
      </c>
      <c r="AD292" s="11"/>
      <c r="AE292" s="11"/>
      <c r="AF292" s="11"/>
      <c r="AG292" s="11"/>
      <c r="AH292" s="11"/>
      <c r="AI292" s="11"/>
      <c r="AJ292" s="11"/>
      <c r="AK292" s="11">
        <v>27</v>
      </c>
      <c r="AL292" s="11"/>
      <c r="AM292" s="11"/>
      <c r="AN292" s="11">
        <v>30</v>
      </c>
      <c r="AO292" s="11"/>
      <c r="AP292" s="11">
        <v>27</v>
      </c>
      <c r="AQ292" s="11"/>
      <c r="AR292" s="11"/>
      <c r="AS292" s="11"/>
      <c r="AT292" s="20" t="str">
        <f>HYPERLINK("http://www.openstreetmap.org/?mlat=34.0022&amp;mlon=44.9413&amp;zoom=12#map=12/34.0022/44.9413","Maplink1")</f>
        <v>Maplink1</v>
      </c>
      <c r="AU292" s="20" t="str">
        <f>HYPERLINK("https://www.google.iq/maps/search/+34.0022,44.9413/@34.0022,44.9413,14z?hl=en","Maplink2")</f>
        <v>Maplink2</v>
      </c>
      <c r="AV292" s="20" t="str">
        <f>HYPERLINK("http://www.bing.com/maps/?lvl=14&amp;sty=h&amp;cp=34.0022~44.9413&amp;sp=point.34.0022_44.9413","Maplink3")</f>
        <v>Maplink3</v>
      </c>
    </row>
    <row r="293" spans="1:48" x14ac:dyDescent="0.25">
      <c r="A293" s="9">
        <v>25802</v>
      </c>
      <c r="B293" s="10" t="s">
        <v>13</v>
      </c>
      <c r="C293" s="10" t="s">
        <v>637</v>
      </c>
      <c r="D293" s="10" t="s">
        <v>656</v>
      </c>
      <c r="E293" s="10" t="s">
        <v>657</v>
      </c>
      <c r="F293" s="10">
        <v>33.981959531699999</v>
      </c>
      <c r="G293" s="10">
        <v>44.930711685399999</v>
      </c>
      <c r="H293" s="11">
        <v>20</v>
      </c>
      <c r="I293" s="11">
        <v>120</v>
      </c>
      <c r="J293" s="11"/>
      <c r="K293" s="11"/>
      <c r="L293" s="11"/>
      <c r="M293" s="11"/>
      <c r="N293" s="11"/>
      <c r="O293" s="11">
        <v>20</v>
      </c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>
        <v>20</v>
      </c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>
        <v>20</v>
      </c>
      <c r="AO293" s="11"/>
      <c r="AP293" s="11"/>
      <c r="AQ293" s="11"/>
      <c r="AR293" s="11"/>
      <c r="AS293" s="11"/>
      <c r="AT293" s="20" t="str">
        <f>HYPERLINK("http://www.openstreetmap.org/?mlat=33.982&amp;mlon=44.9307&amp;zoom=12#map=12/33.982/44.9307","Maplink1")</f>
        <v>Maplink1</v>
      </c>
      <c r="AU293" s="20" t="str">
        <f>HYPERLINK("https://www.google.iq/maps/search/+33.982,44.9307/@33.982,44.9307,14z?hl=en","Maplink2")</f>
        <v>Maplink2</v>
      </c>
      <c r="AV293" s="20" t="str">
        <f>HYPERLINK("http://www.bing.com/maps/?lvl=14&amp;sty=h&amp;cp=33.982~44.9307&amp;sp=point.33.982_44.9307","Maplink3")</f>
        <v>Maplink3</v>
      </c>
    </row>
    <row r="294" spans="1:48" x14ac:dyDescent="0.25">
      <c r="A294" s="9">
        <v>25664</v>
      </c>
      <c r="B294" s="10" t="s">
        <v>13</v>
      </c>
      <c r="C294" s="10" t="s">
        <v>637</v>
      </c>
      <c r="D294" s="10" t="s">
        <v>658</v>
      </c>
      <c r="E294" s="10" t="s">
        <v>659</v>
      </c>
      <c r="F294" s="10">
        <v>34.005588799400002</v>
      </c>
      <c r="G294" s="10">
        <v>44.879296588499997</v>
      </c>
      <c r="H294" s="11">
        <v>209</v>
      </c>
      <c r="I294" s="11">
        <v>1254</v>
      </c>
      <c r="J294" s="11"/>
      <c r="K294" s="11"/>
      <c r="L294" s="11"/>
      <c r="M294" s="11"/>
      <c r="N294" s="11"/>
      <c r="O294" s="11">
        <v>159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>
        <v>50</v>
      </c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>
        <v>209</v>
      </c>
      <c r="AL294" s="11"/>
      <c r="AM294" s="11"/>
      <c r="AN294" s="11"/>
      <c r="AO294" s="11"/>
      <c r="AP294" s="11">
        <v>209</v>
      </c>
      <c r="AQ294" s="11"/>
      <c r="AR294" s="11"/>
      <c r="AS294" s="11"/>
      <c r="AT294" s="20" t="str">
        <f>HYPERLINK("http://www.openstreetmap.org/?mlat=34.0056&amp;mlon=44.8793&amp;zoom=12#map=12/34.0056/44.8793","Maplink1")</f>
        <v>Maplink1</v>
      </c>
      <c r="AU294" s="20" t="str">
        <f>HYPERLINK("https://www.google.iq/maps/search/+34.0056,44.8793/@34.0056,44.8793,14z?hl=en","Maplink2")</f>
        <v>Maplink2</v>
      </c>
      <c r="AV294" s="20" t="str">
        <f>HYPERLINK("http://www.bing.com/maps/?lvl=14&amp;sty=h&amp;cp=34.0056~44.8793&amp;sp=point.34.0056_44.8793","Maplink3")</f>
        <v>Maplink3</v>
      </c>
    </row>
    <row r="295" spans="1:48" x14ac:dyDescent="0.25">
      <c r="A295" s="9">
        <v>31720</v>
      </c>
      <c r="B295" s="10" t="s">
        <v>13</v>
      </c>
      <c r="C295" s="10" t="s">
        <v>637</v>
      </c>
      <c r="D295" s="10" t="s">
        <v>660</v>
      </c>
      <c r="E295" s="10" t="s">
        <v>661</v>
      </c>
      <c r="F295" s="10">
        <v>33.990099999999998</v>
      </c>
      <c r="G295" s="10">
        <v>44.918599999999998</v>
      </c>
      <c r="H295" s="11">
        <v>112</v>
      </c>
      <c r="I295" s="11">
        <v>672</v>
      </c>
      <c r="J295" s="11"/>
      <c r="K295" s="11"/>
      <c r="L295" s="11"/>
      <c r="M295" s="11"/>
      <c r="N295" s="11"/>
      <c r="O295" s="11">
        <v>112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>
        <v>112</v>
      </c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>
        <v>112</v>
      </c>
      <c r="AO295" s="11"/>
      <c r="AP295" s="11"/>
      <c r="AQ295" s="11"/>
      <c r="AR295" s="11"/>
      <c r="AS295" s="11"/>
      <c r="AT295" s="20" t="str">
        <f>HYPERLINK("http://www.openstreetmap.org/?mlat=33.9901&amp;mlon=44.9186&amp;zoom=12#map=12/33.9901/44.9186","Maplink1")</f>
        <v>Maplink1</v>
      </c>
      <c r="AU295" s="20" t="str">
        <f>HYPERLINK("https://www.google.iq/maps/search/+33.9901,44.9186/@33.9901,44.9186,14z?hl=en","Maplink2")</f>
        <v>Maplink2</v>
      </c>
      <c r="AV295" s="20" t="str">
        <f>HYPERLINK("http://www.bing.com/maps/?lvl=14&amp;sty=h&amp;cp=33.9901~44.9186&amp;sp=point.33.9901_44.9186","Maplink3")</f>
        <v>Maplink3</v>
      </c>
    </row>
    <row r="296" spans="1:48" x14ac:dyDescent="0.25">
      <c r="A296" s="9">
        <v>25804</v>
      </c>
      <c r="B296" s="10" t="s">
        <v>13</v>
      </c>
      <c r="C296" s="10" t="s">
        <v>637</v>
      </c>
      <c r="D296" s="10" t="s">
        <v>662</v>
      </c>
      <c r="E296" s="10" t="s">
        <v>89</v>
      </c>
      <c r="F296" s="10">
        <v>33.989437009</v>
      </c>
      <c r="G296" s="10">
        <v>44.948567536699997</v>
      </c>
      <c r="H296" s="11">
        <v>380</v>
      </c>
      <c r="I296" s="11">
        <v>2280</v>
      </c>
      <c r="J296" s="11"/>
      <c r="K296" s="11"/>
      <c r="L296" s="11"/>
      <c r="M296" s="11"/>
      <c r="N296" s="11"/>
      <c r="O296" s="11">
        <v>380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>
        <v>210</v>
      </c>
      <c r="AD296" s="11"/>
      <c r="AE296" s="11"/>
      <c r="AF296" s="11"/>
      <c r="AG296" s="11"/>
      <c r="AH296" s="11"/>
      <c r="AI296" s="11">
        <v>95</v>
      </c>
      <c r="AJ296" s="11"/>
      <c r="AK296" s="11">
        <v>75</v>
      </c>
      <c r="AL296" s="11"/>
      <c r="AM296" s="11"/>
      <c r="AN296" s="11">
        <v>380</v>
      </c>
      <c r="AO296" s="11"/>
      <c r="AP296" s="11"/>
      <c r="AQ296" s="11"/>
      <c r="AR296" s="11"/>
      <c r="AS296" s="11"/>
      <c r="AT296" s="20" t="str">
        <f>HYPERLINK("http://www.openstreetmap.org/?mlat=33.9894&amp;mlon=44.9486&amp;zoom=12#map=12/33.9894/44.9486","Maplink1")</f>
        <v>Maplink1</v>
      </c>
      <c r="AU296" s="20" t="str">
        <f>HYPERLINK("https://www.google.iq/maps/search/+33.9894,44.9486/@33.9894,44.9486,14z?hl=en","Maplink2")</f>
        <v>Maplink2</v>
      </c>
      <c r="AV296" s="20" t="str">
        <f>HYPERLINK("http://www.bing.com/maps/?lvl=14&amp;sty=h&amp;cp=33.9894~44.9486&amp;sp=point.33.9894_44.9486","Maplink3")</f>
        <v>Maplink3</v>
      </c>
    </row>
    <row r="297" spans="1:48" x14ac:dyDescent="0.25">
      <c r="A297" s="9">
        <v>11414</v>
      </c>
      <c r="B297" s="10" t="s">
        <v>13</v>
      </c>
      <c r="C297" s="10" t="s">
        <v>637</v>
      </c>
      <c r="D297" s="10" t="s">
        <v>663</v>
      </c>
      <c r="E297" s="10" t="s">
        <v>664</v>
      </c>
      <c r="F297" s="10">
        <v>34.005899999999997</v>
      </c>
      <c r="G297" s="10">
        <v>44.947699999999998</v>
      </c>
      <c r="H297" s="11">
        <v>60</v>
      </c>
      <c r="I297" s="11">
        <v>360</v>
      </c>
      <c r="J297" s="11"/>
      <c r="K297" s="11"/>
      <c r="L297" s="11"/>
      <c r="M297" s="11"/>
      <c r="N297" s="11"/>
      <c r="O297" s="11">
        <v>40</v>
      </c>
      <c r="P297" s="11"/>
      <c r="Q297" s="11"/>
      <c r="R297" s="11"/>
      <c r="S297" s="11"/>
      <c r="T297" s="11"/>
      <c r="U297" s="11"/>
      <c r="V297" s="11"/>
      <c r="W297" s="11"/>
      <c r="X297" s="11"/>
      <c r="Y297" s="11">
        <v>20</v>
      </c>
      <c r="Z297" s="11"/>
      <c r="AA297" s="11"/>
      <c r="AB297" s="11"/>
      <c r="AC297" s="11">
        <v>30</v>
      </c>
      <c r="AD297" s="11"/>
      <c r="AE297" s="11"/>
      <c r="AF297" s="11"/>
      <c r="AG297" s="11"/>
      <c r="AH297" s="11"/>
      <c r="AI297" s="11"/>
      <c r="AJ297" s="11"/>
      <c r="AK297" s="11">
        <v>30</v>
      </c>
      <c r="AL297" s="11"/>
      <c r="AM297" s="11"/>
      <c r="AN297" s="11"/>
      <c r="AO297" s="11"/>
      <c r="AP297" s="11">
        <v>60</v>
      </c>
      <c r="AQ297" s="11"/>
      <c r="AR297" s="11"/>
      <c r="AS297" s="11"/>
      <c r="AT297" s="20" t="str">
        <f>HYPERLINK("http://www.openstreetmap.org/?mlat=34.0059&amp;mlon=44.9477&amp;zoom=12#map=12/34.0059/44.9477","Maplink1")</f>
        <v>Maplink1</v>
      </c>
      <c r="AU297" s="20" t="str">
        <f>HYPERLINK("https://www.google.iq/maps/search/+34.0059,44.9477/@34.0059,44.9477,14z?hl=en","Maplink2")</f>
        <v>Maplink2</v>
      </c>
      <c r="AV297" s="20" t="str">
        <f>HYPERLINK("http://www.bing.com/maps/?lvl=14&amp;sty=h&amp;cp=34.0059~44.9477&amp;sp=point.34.0059_44.9477","Maplink3")</f>
        <v>Maplink3</v>
      </c>
    </row>
    <row r="298" spans="1:48" x14ac:dyDescent="0.25">
      <c r="A298" s="9">
        <v>25801</v>
      </c>
      <c r="B298" s="10" t="s">
        <v>13</v>
      </c>
      <c r="C298" s="10" t="s">
        <v>637</v>
      </c>
      <c r="D298" s="10" t="s">
        <v>665</v>
      </c>
      <c r="E298" s="10" t="s">
        <v>666</v>
      </c>
      <c r="F298" s="10">
        <v>33.976590000000002</v>
      </c>
      <c r="G298" s="10">
        <v>44.931890000000003</v>
      </c>
      <c r="H298" s="11">
        <v>25</v>
      </c>
      <c r="I298" s="11">
        <v>150</v>
      </c>
      <c r="J298" s="11"/>
      <c r="K298" s="11"/>
      <c r="L298" s="11"/>
      <c r="M298" s="11"/>
      <c r="N298" s="11"/>
      <c r="O298" s="11">
        <v>25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>
        <v>25</v>
      </c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>
        <v>25</v>
      </c>
      <c r="AO298" s="11"/>
      <c r="AP298" s="11"/>
      <c r="AQ298" s="11"/>
      <c r="AR298" s="11"/>
      <c r="AS298" s="11"/>
      <c r="AT298" s="20" t="str">
        <f>HYPERLINK("http://www.openstreetmap.org/?mlat=33.9766&amp;mlon=44.9319&amp;zoom=12#map=12/33.9766/44.9319","Maplink1")</f>
        <v>Maplink1</v>
      </c>
      <c r="AU298" s="20" t="str">
        <f>HYPERLINK("https://www.google.iq/maps/search/+33.9766,44.9319/@33.9766,44.9319,14z?hl=en","Maplink2")</f>
        <v>Maplink2</v>
      </c>
      <c r="AV298" s="20" t="str">
        <f>HYPERLINK("http://www.bing.com/maps/?lvl=14&amp;sty=h&amp;cp=33.9766~44.9319&amp;sp=point.33.9766_44.9319","Maplink3")</f>
        <v>Maplink3</v>
      </c>
    </row>
    <row r="299" spans="1:48" x14ac:dyDescent="0.25">
      <c r="A299" s="9">
        <v>25663</v>
      </c>
      <c r="B299" s="10" t="s">
        <v>13</v>
      </c>
      <c r="C299" s="10" t="s">
        <v>637</v>
      </c>
      <c r="D299" s="10" t="s">
        <v>667</v>
      </c>
      <c r="E299" s="10" t="s">
        <v>668</v>
      </c>
      <c r="F299" s="10">
        <v>34.038020000000003</v>
      </c>
      <c r="G299" s="10">
        <v>44.984490000000001</v>
      </c>
      <c r="H299" s="11">
        <v>80</v>
      </c>
      <c r="I299" s="11">
        <v>480</v>
      </c>
      <c r="J299" s="11"/>
      <c r="K299" s="11"/>
      <c r="L299" s="11"/>
      <c r="M299" s="11"/>
      <c r="N299" s="11"/>
      <c r="O299" s="11">
        <v>80</v>
      </c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>
        <v>20</v>
      </c>
      <c r="AD299" s="11"/>
      <c r="AE299" s="11"/>
      <c r="AF299" s="11"/>
      <c r="AG299" s="11"/>
      <c r="AH299" s="11"/>
      <c r="AI299" s="11"/>
      <c r="AJ299" s="11"/>
      <c r="AK299" s="11">
        <v>60</v>
      </c>
      <c r="AL299" s="11"/>
      <c r="AM299" s="11"/>
      <c r="AN299" s="11"/>
      <c r="AO299" s="11"/>
      <c r="AP299" s="11">
        <v>80</v>
      </c>
      <c r="AQ299" s="11"/>
      <c r="AR299" s="11"/>
      <c r="AS299" s="11"/>
      <c r="AT299" s="20" t="str">
        <f>HYPERLINK("http://www.openstreetmap.org/?mlat=34.038&amp;mlon=44.9845&amp;zoom=12#map=12/34.038/44.9845","Maplink1")</f>
        <v>Maplink1</v>
      </c>
      <c r="AU299" s="20" t="str">
        <f>HYPERLINK("https://www.google.iq/maps/search/+34.038,44.9845/@34.038,44.9845,14z?hl=en","Maplink2")</f>
        <v>Maplink2</v>
      </c>
      <c r="AV299" s="20" t="str">
        <f>HYPERLINK("http://www.bing.com/maps/?lvl=14&amp;sty=h&amp;cp=34.038~44.9845&amp;sp=point.34.038_44.9845","Maplink3")</f>
        <v>Maplink3</v>
      </c>
    </row>
    <row r="300" spans="1:48" x14ac:dyDescent="0.25">
      <c r="A300" s="9">
        <v>11440</v>
      </c>
      <c r="B300" s="10" t="s">
        <v>13</v>
      </c>
      <c r="C300" s="10" t="s">
        <v>637</v>
      </c>
      <c r="D300" s="10" t="s">
        <v>505</v>
      </c>
      <c r="E300" s="10" t="s">
        <v>506</v>
      </c>
      <c r="F300" s="10">
        <v>34.014964209399999</v>
      </c>
      <c r="G300" s="10">
        <v>44.915148972899999</v>
      </c>
      <c r="H300" s="11">
        <v>475</v>
      </c>
      <c r="I300" s="11">
        <v>2850</v>
      </c>
      <c r="J300" s="11"/>
      <c r="K300" s="11"/>
      <c r="L300" s="11"/>
      <c r="M300" s="11"/>
      <c r="N300" s="11"/>
      <c r="O300" s="11">
        <v>468</v>
      </c>
      <c r="P300" s="11"/>
      <c r="Q300" s="11"/>
      <c r="R300" s="11"/>
      <c r="S300" s="11"/>
      <c r="T300" s="11"/>
      <c r="U300" s="11"/>
      <c r="V300" s="11"/>
      <c r="W300" s="11"/>
      <c r="X300" s="11"/>
      <c r="Y300" s="11">
        <v>7</v>
      </c>
      <c r="Z300" s="11"/>
      <c r="AA300" s="11"/>
      <c r="AB300" s="11"/>
      <c r="AC300" s="11">
        <v>96</v>
      </c>
      <c r="AD300" s="11"/>
      <c r="AE300" s="11"/>
      <c r="AF300" s="11"/>
      <c r="AG300" s="11"/>
      <c r="AH300" s="11"/>
      <c r="AI300" s="11"/>
      <c r="AJ300" s="11"/>
      <c r="AK300" s="11">
        <v>379</v>
      </c>
      <c r="AL300" s="11"/>
      <c r="AM300" s="11"/>
      <c r="AN300" s="11"/>
      <c r="AO300" s="11"/>
      <c r="AP300" s="11">
        <v>475</v>
      </c>
      <c r="AQ300" s="11"/>
      <c r="AR300" s="11"/>
      <c r="AS300" s="11"/>
      <c r="AT300" s="20" t="str">
        <f>HYPERLINK("http://www.openstreetmap.org/?mlat=34.015&amp;mlon=44.9151&amp;zoom=12#map=12/34.015/44.9151","Maplink1")</f>
        <v>Maplink1</v>
      </c>
      <c r="AU300" s="20" t="str">
        <f>HYPERLINK("https://www.google.iq/maps/search/+34.015,44.9151/@34.015,44.9151,14z?hl=en","Maplink2")</f>
        <v>Maplink2</v>
      </c>
      <c r="AV300" s="20" t="str">
        <f>HYPERLINK("http://www.bing.com/maps/?lvl=14&amp;sty=h&amp;cp=34.015~44.9151&amp;sp=point.34.015_44.9151","Maplink3")</f>
        <v>Maplink3</v>
      </c>
    </row>
    <row r="301" spans="1:48" x14ac:dyDescent="0.25">
      <c r="A301" s="9">
        <v>11307</v>
      </c>
      <c r="B301" s="10" t="s">
        <v>13</v>
      </c>
      <c r="C301" s="10" t="s">
        <v>637</v>
      </c>
      <c r="D301" s="10" t="s">
        <v>669</v>
      </c>
      <c r="E301" s="10" t="s">
        <v>670</v>
      </c>
      <c r="F301" s="10">
        <v>34.018279999999997</v>
      </c>
      <c r="G301" s="10">
        <v>44.99727</v>
      </c>
      <c r="H301" s="11">
        <v>276</v>
      </c>
      <c r="I301" s="11">
        <v>1656</v>
      </c>
      <c r="J301" s="11"/>
      <c r="K301" s="11"/>
      <c r="L301" s="11"/>
      <c r="M301" s="11"/>
      <c r="N301" s="11"/>
      <c r="O301" s="11">
        <v>276</v>
      </c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>
        <v>126</v>
      </c>
      <c r="AD301" s="11"/>
      <c r="AE301" s="11"/>
      <c r="AF301" s="11"/>
      <c r="AG301" s="11"/>
      <c r="AH301" s="11"/>
      <c r="AI301" s="11"/>
      <c r="AJ301" s="11"/>
      <c r="AK301" s="11">
        <v>150</v>
      </c>
      <c r="AL301" s="11"/>
      <c r="AM301" s="11"/>
      <c r="AN301" s="11"/>
      <c r="AO301" s="11"/>
      <c r="AP301" s="11">
        <v>276</v>
      </c>
      <c r="AQ301" s="11"/>
      <c r="AR301" s="11"/>
      <c r="AS301" s="11"/>
      <c r="AT301" s="20" t="str">
        <f>HYPERLINK("http://www.openstreetmap.org/?mlat=34.0183&amp;mlon=44.9973&amp;zoom=12#map=12/34.0183/44.9973","Maplink1")</f>
        <v>Maplink1</v>
      </c>
      <c r="AU301" s="20" t="str">
        <f>HYPERLINK("https://www.google.iq/maps/search/+34.0183,44.9973/@34.0183,44.9973,14z?hl=en","Maplink2")</f>
        <v>Maplink2</v>
      </c>
      <c r="AV301" s="20" t="str">
        <f>HYPERLINK("http://www.bing.com/maps/?lvl=14&amp;sty=h&amp;cp=34.0183~44.9973&amp;sp=point.34.0183_44.9973","Maplink3")</f>
        <v>Maplink3</v>
      </c>
    </row>
    <row r="302" spans="1:48" x14ac:dyDescent="0.25">
      <c r="A302" s="9">
        <v>26027</v>
      </c>
      <c r="B302" s="10" t="s">
        <v>13</v>
      </c>
      <c r="C302" s="10" t="s">
        <v>637</v>
      </c>
      <c r="D302" s="10" t="s">
        <v>671</v>
      </c>
      <c r="E302" s="10" t="s">
        <v>672</v>
      </c>
      <c r="F302" s="10">
        <v>34.035346450299997</v>
      </c>
      <c r="G302" s="10">
        <v>44.973788554199999</v>
      </c>
      <c r="H302" s="11">
        <v>22</v>
      </c>
      <c r="I302" s="11">
        <v>132</v>
      </c>
      <c r="J302" s="11"/>
      <c r="K302" s="11"/>
      <c r="L302" s="11"/>
      <c r="M302" s="11"/>
      <c r="N302" s="11"/>
      <c r="O302" s="11">
        <v>22</v>
      </c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>
        <v>22</v>
      </c>
      <c r="AL302" s="11"/>
      <c r="AM302" s="11"/>
      <c r="AN302" s="11"/>
      <c r="AO302" s="11"/>
      <c r="AP302" s="11">
        <v>22</v>
      </c>
      <c r="AQ302" s="11"/>
      <c r="AR302" s="11"/>
      <c r="AS302" s="11"/>
      <c r="AT302" s="20" t="str">
        <f>HYPERLINK("http://www.openstreetmap.org/?mlat=34.0353&amp;mlon=44.9738&amp;zoom=12#map=12/34.0353/44.9738","Maplink1")</f>
        <v>Maplink1</v>
      </c>
      <c r="AU302" s="20" t="str">
        <f>HYPERLINK("https://www.google.iq/maps/search/+34.0353,44.9738/@34.0353,44.9738,14z?hl=en","Maplink2")</f>
        <v>Maplink2</v>
      </c>
      <c r="AV302" s="20" t="str">
        <f>HYPERLINK("http://www.bing.com/maps/?lvl=14&amp;sty=h&amp;cp=34.0353~44.9738&amp;sp=point.34.0353_44.9738","Maplink3")</f>
        <v>Maplink3</v>
      </c>
    </row>
    <row r="303" spans="1:48" x14ac:dyDescent="0.25">
      <c r="A303" s="9">
        <v>26114</v>
      </c>
      <c r="B303" s="10" t="s">
        <v>13</v>
      </c>
      <c r="C303" s="10" t="s">
        <v>637</v>
      </c>
      <c r="D303" s="10" t="s">
        <v>673</v>
      </c>
      <c r="E303" s="10" t="s">
        <v>674</v>
      </c>
      <c r="F303" s="10">
        <v>34.057670000000002</v>
      </c>
      <c r="G303" s="10">
        <v>44.98415</v>
      </c>
      <c r="H303" s="11">
        <v>144</v>
      </c>
      <c r="I303" s="11">
        <v>864</v>
      </c>
      <c r="J303" s="11"/>
      <c r="K303" s="11"/>
      <c r="L303" s="11"/>
      <c r="M303" s="11"/>
      <c r="N303" s="11"/>
      <c r="O303" s="11">
        <v>144</v>
      </c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>
        <v>144</v>
      </c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>
        <v>70</v>
      </c>
      <c r="AO303" s="11"/>
      <c r="AP303" s="11">
        <v>74</v>
      </c>
      <c r="AQ303" s="11"/>
      <c r="AR303" s="11"/>
      <c r="AS303" s="11"/>
      <c r="AT303" s="20" t="str">
        <f>HYPERLINK("http://www.openstreetmap.org/?mlat=34.0577&amp;mlon=44.9842&amp;zoom=12#map=12/34.0577/44.9842","Maplink1")</f>
        <v>Maplink1</v>
      </c>
      <c r="AU303" s="20" t="str">
        <f>HYPERLINK("https://www.google.iq/maps/search/+34.0577,44.9842/@34.0577,44.9842,14z?hl=en","Maplink2")</f>
        <v>Maplink2</v>
      </c>
      <c r="AV303" s="20" t="str">
        <f>HYPERLINK("http://www.bing.com/maps/?lvl=14&amp;sty=h&amp;cp=34.0577~44.9842&amp;sp=point.34.0577_44.9842","Maplink3")</f>
        <v>Maplink3</v>
      </c>
    </row>
    <row r="304" spans="1:48" x14ac:dyDescent="0.25">
      <c r="A304" s="9">
        <v>11312</v>
      </c>
      <c r="B304" s="10" t="s">
        <v>13</v>
      </c>
      <c r="C304" s="10" t="s">
        <v>637</v>
      </c>
      <c r="D304" s="10" t="s">
        <v>675</v>
      </c>
      <c r="E304" s="10" t="s">
        <v>676</v>
      </c>
      <c r="F304" s="10">
        <v>34.058529999999998</v>
      </c>
      <c r="G304" s="10">
        <v>44.981789999999997</v>
      </c>
      <c r="H304" s="11">
        <v>114</v>
      </c>
      <c r="I304" s="11">
        <v>684</v>
      </c>
      <c r="J304" s="11"/>
      <c r="K304" s="11"/>
      <c r="L304" s="11"/>
      <c r="M304" s="11"/>
      <c r="N304" s="11"/>
      <c r="O304" s="11">
        <v>114</v>
      </c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>
        <v>114</v>
      </c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>
        <v>99</v>
      </c>
      <c r="AO304" s="11"/>
      <c r="AP304" s="11">
        <v>15</v>
      </c>
      <c r="AQ304" s="11"/>
      <c r="AR304" s="11"/>
      <c r="AS304" s="11"/>
      <c r="AT304" s="20" t="str">
        <f>HYPERLINK("http://www.openstreetmap.org/?mlat=34.0585&amp;mlon=44.9818&amp;zoom=12#map=12/34.0585/44.9818","Maplink1")</f>
        <v>Maplink1</v>
      </c>
      <c r="AU304" s="20" t="str">
        <f>HYPERLINK("https://www.google.iq/maps/search/+34.0585,44.9818/@34.0585,44.9818,14z?hl=en","Maplink2")</f>
        <v>Maplink2</v>
      </c>
      <c r="AV304" s="20" t="str">
        <f>HYPERLINK("http://www.bing.com/maps/?lvl=14&amp;sty=h&amp;cp=34.0585~44.9818&amp;sp=point.34.0585_44.9818","Maplink3")</f>
        <v>Maplink3</v>
      </c>
    </row>
    <row r="305" spans="1:48" x14ac:dyDescent="0.25">
      <c r="A305" s="9">
        <v>25805</v>
      </c>
      <c r="B305" s="10" t="s">
        <v>13</v>
      </c>
      <c r="C305" s="10" t="s">
        <v>637</v>
      </c>
      <c r="D305" s="10" t="s">
        <v>677</v>
      </c>
      <c r="E305" s="10" t="s">
        <v>678</v>
      </c>
      <c r="F305" s="10">
        <v>33.984566497499998</v>
      </c>
      <c r="G305" s="10">
        <v>44.942542780099998</v>
      </c>
      <c r="H305" s="11">
        <v>160</v>
      </c>
      <c r="I305" s="11">
        <v>960</v>
      </c>
      <c r="J305" s="11"/>
      <c r="K305" s="11"/>
      <c r="L305" s="11"/>
      <c r="M305" s="11"/>
      <c r="N305" s="11"/>
      <c r="O305" s="11">
        <v>160</v>
      </c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>
        <v>160</v>
      </c>
      <c r="AL305" s="11"/>
      <c r="AM305" s="11"/>
      <c r="AN305" s="11">
        <v>160</v>
      </c>
      <c r="AO305" s="11"/>
      <c r="AP305" s="11"/>
      <c r="AQ305" s="11"/>
      <c r="AR305" s="11"/>
      <c r="AS305" s="11"/>
      <c r="AT305" s="20" t="str">
        <f>HYPERLINK("http://www.openstreetmap.org/?mlat=33.9846&amp;mlon=44.9425&amp;zoom=12#map=12/33.9846/44.9425","Maplink1")</f>
        <v>Maplink1</v>
      </c>
      <c r="AU305" s="20" t="str">
        <f>HYPERLINK("https://www.google.iq/maps/search/+33.9846,44.9425/@33.9846,44.9425,14z?hl=en","Maplink2")</f>
        <v>Maplink2</v>
      </c>
      <c r="AV305" s="20" t="str">
        <f>HYPERLINK("http://www.bing.com/maps/?lvl=14&amp;sty=h&amp;cp=33.9846~44.9425&amp;sp=point.33.9846_44.9425","Maplink3")</f>
        <v>Maplink3</v>
      </c>
    </row>
    <row r="306" spans="1:48" x14ac:dyDescent="0.25">
      <c r="A306" s="9">
        <v>25803</v>
      </c>
      <c r="B306" s="10" t="s">
        <v>13</v>
      </c>
      <c r="C306" s="10" t="s">
        <v>637</v>
      </c>
      <c r="D306" s="10" t="s">
        <v>679</v>
      </c>
      <c r="E306" s="10" t="s">
        <v>680</v>
      </c>
      <c r="F306" s="10">
        <v>33.975389999999997</v>
      </c>
      <c r="G306" s="10">
        <v>44.931190000000001</v>
      </c>
      <c r="H306" s="11">
        <v>23</v>
      </c>
      <c r="I306" s="11">
        <v>138</v>
      </c>
      <c r="J306" s="11"/>
      <c r="K306" s="11"/>
      <c r="L306" s="11"/>
      <c r="M306" s="11"/>
      <c r="N306" s="11"/>
      <c r="O306" s="11">
        <v>23</v>
      </c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>
        <v>23</v>
      </c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>
        <v>23</v>
      </c>
      <c r="AO306" s="11"/>
      <c r="AP306" s="11"/>
      <c r="AQ306" s="11"/>
      <c r="AR306" s="11"/>
      <c r="AS306" s="11"/>
      <c r="AT306" s="20" t="str">
        <f>HYPERLINK("http://www.openstreetmap.org/?mlat=33.9754&amp;mlon=44.9312&amp;zoom=12#map=12/33.9754/44.9312","Maplink1")</f>
        <v>Maplink1</v>
      </c>
      <c r="AU306" s="20" t="str">
        <f>HYPERLINK("https://www.google.iq/maps/search/+33.9754,44.9312/@33.9754,44.9312,14z?hl=en","Maplink2")</f>
        <v>Maplink2</v>
      </c>
      <c r="AV306" s="20" t="str">
        <f>HYPERLINK("http://www.bing.com/maps/?lvl=14&amp;sty=h&amp;cp=33.9754~44.9312&amp;sp=point.33.9754_44.9312","Maplink3")</f>
        <v>Maplink3</v>
      </c>
    </row>
    <row r="307" spans="1:48" x14ac:dyDescent="0.25">
      <c r="A307" s="9">
        <v>25827</v>
      </c>
      <c r="B307" s="10" t="s">
        <v>13</v>
      </c>
      <c r="C307" s="10" t="s">
        <v>637</v>
      </c>
      <c r="D307" s="10" t="s">
        <v>681</v>
      </c>
      <c r="E307" s="10" t="s">
        <v>682</v>
      </c>
      <c r="F307" s="10">
        <v>34.030375453399998</v>
      </c>
      <c r="G307" s="10">
        <v>44.944472964699997</v>
      </c>
      <c r="H307" s="11">
        <v>138</v>
      </c>
      <c r="I307" s="11">
        <v>828</v>
      </c>
      <c r="J307" s="11"/>
      <c r="K307" s="11"/>
      <c r="L307" s="11"/>
      <c r="M307" s="11"/>
      <c r="N307" s="11"/>
      <c r="O307" s="11">
        <v>138</v>
      </c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>
        <v>98</v>
      </c>
      <c r="AD307" s="11"/>
      <c r="AE307" s="11"/>
      <c r="AF307" s="11"/>
      <c r="AG307" s="11"/>
      <c r="AH307" s="11"/>
      <c r="AI307" s="11"/>
      <c r="AJ307" s="11"/>
      <c r="AK307" s="11">
        <v>40</v>
      </c>
      <c r="AL307" s="11"/>
      <c r="AM307" s="11"/>
      <c r="AN307" s="11">
        <v>138</v>
      </c>
      <c r="AO307" s="11"/>
      <c r="AP307" s="11"/>
      <c r="AQ307" s="11"/>
      <c r="AR307" s="11"/>
      <c r="AS307" s="11"/>
      <c r="AT307" s="20" t="str">
        <f>HYPERLINK("http://www.openstreetmap.org/?mlat=34.0304&amp;mlon=44.9445&amp;zoom=12#map=12/34.0304/44.9445","Maplink1")</f>
        <v>Maplink1</v>
      </c>
      <c r="AU307" s="20" t="str">
        <f>HYPERLINK("https://www.google.iq/maps/search/+34.0304,44.9445/@34.0304,44.9445,14z?hl=en","Maplink2")</f>
        <v>Maplink2</v>
      </c>
      <c r="AV307" s="20" t="str">
        <f>HYPERLINK("http://www.bing.com/maps/?lvl=14&amp;sty=h&amp;cp=34.0304~44.9445&amp;sp=point.34.0304_44.9445","Maplink3")</f>
        <v>Maplink3</v>
      </c>
    </row>
    <row r="308" spans="1:48" x14ac:dyDescent="0.25">
      <c r="A308" s="9">
        <v>25826</v>
      </c>
      <c r="B308" s="10" t="s">
        <v>13</v>
      </c>
      <c r="C308" s="10" t="s">
        <v>637</v>
      </c>
      <c r="D308" s="10" t="s">
        <v>683</v>
      </c>
      <c r="E308" s="10" t="s">
        <v>684</v>
      </c>
      <c r="F308" s="10">
        <v>33.983460000000001</v>
      </c>
      <c r="G308" s="10">
        <v>44.938420000000001</v>
      </c>
      <c r="H308" s="11">
        <v>67</v>
      </c>
      <c r="I308" s="11">
        <v>402</v>
      </c>
      <c r="J308" s="11"/>
      <c r="K308" s="11"/>
      <c r="L308" s="11"/>
      <c r="M308" s="11"/>
      <c r="N308" s="11"/>
      <c r="O308" s="11">
        <v>67</v>
      </c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>
        <v>67</v>
      </c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>
        <v>67</v>
      </c>
      <c r="AO308" s="11"/>
      <c r="AP308" s="11"/>
      <c r="AQ308" s="11"/>
      <c r="AR308" s="11"/>
      <c r="AS308" s="11"/>
      <c r="AT308" s="20" t="str">
        <f>HYPERLINK("http://www.openstreetmap.org/?mlat=33.9835&amp;mlon=44.9384&amp;zoom=12#map=12/33.9835/44.9384","Maplink1")</f>
        <v>Maplink1</v>
      </c>
      <c r="AU308" s="20" t="str">
        <f>HYPERLINK("https://www.google.iq/maps/search/+33.9835,44.9384/@33.9835,44.9384,14z?hl=en","Maplink2")</f>
        <v>Maplink2</v>
      </c>
      <c r="AV308" s="20" t="str">
        <f>HYPERLINK("http://www.bing.com/maps/?lvl=14&amp;sty=h&amp;cp=33.9835~44.9384&amp;sp=point.33.9835_44.9384","Maplink3")</f>
        <v>Maplink3</v>
      </c>
    </row>
    <row r="309" spans="1:48" x14ac:dyDescent="0.25">
      <c r="A309" s="9">
        <v>25668</v>
      </c>
      <c r="B309" s="10" t="s">
        <v>13</v>
      </c>
      <c r="C309" s="10" t="s">
        <v>637</v>
      </c>
      <c r="D309" s="10" t="s">
        <v>685</v>
      </c>
      <c r="E309" s="10" t="s">
        <v>686</v>
      </c>
      <c r="F309" s="10">
        <v>34.035789999999999</v>
      </c>
      <c r="G309" s="10">
        <v>44.984830000000002</v>
      </c>
      <c r="H309" s="11">
        <v>44</v>
      </c>
      <c r="I309" s="11">
        <v>264</v>
      </c>
      <c r="J309" s="11"/>
      <c r="K309" s="11"/>
      <c r="L309" s="11"/>
      <c r="M309" s="11"/>
      <c r="N309" s="11"/>
      <c r="O309" s="11">
        <v>44</v>
      </c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>
        <v>14</v>
      </c>
      <c r="AD309" s="11"/>
      <c r="AE309" s="11"/>
      <c r="AF309" s="11"/>
      <c r="AG309" s="11"/>
      <c r="AH309" s="11"/>
      <c r="AI309" s="11"/>
      <c r="AJ309" s="11"/>
      <c r="AK309" s="11">
        <v>30</v>
      </c>
      <c r="AL309" s="11"/>
      <c r="AM309" s="11"/>
      <c r="AN309" s="11"/>
      <c r="AO309" s="11"/>
      <c r="AP309" s="11">
        <v>44</v>
      </c>
      <c r="AQ309" s="11"/>
      <c r="AR309" s="11"/>
      <c r="AS309" s="11"/>
      <c r="AT309" s="20" t="str">
        <f>HYPERLINK("http://www.openstreetmap.org/?mlat=34.0358&amp;mlon=44.9848&amp;zoom=12#map=12/34.0358/44.9848","Maplink1")</f>
        <v>Maplink1</v>
      </c>
      <c r="AU309" s="20" t="str">
        <f>HYPERLINK("https://www.google.iq/maps/search/+34.0358,44.9848/@34.0358,44.9848,14z?hl=en","Maplink2")</f>
        <v>Maplink2</v>
      </c>
      <c r="AV309" s="20" t="str">
        <f>HYPERLINK("http://www.bing.com/maps/?lvl=14&amp;sty=h&amp;cp=34.0358~44.9848&amp;sp=point.34.0358_44.9848","Maplink3")</f>
        <v>Maplink3</v>
      </c>
    </row>
    <row r="310" spans="1:48" x14ac:dyDescent="0.25">
      <c r="A310" s="9">
        <v>26028</v>
      </c>
      <c r="B310" s="10" t="s">
        <v>13</v>
      </c>
      <c r="C310" s="10" t="s">
        <v>637</v>
      </c>
      <c r="D310" s="10" t="s">
        <v>687</v>
      </c>
      <c r="E310" s="10" t="s">
        <v>688</v>
      </c>
      <c r="F310" s="10">
        <v>34.030412532200003</v>
      </c>
      <c r="G310" s="10">
        <v>44.944478155100001</v>
      </c>
      <c r="H310" s="11">
        <v>123</v>
      </c>
      <c r="I310" s="11">
        <v>738</v>
      </c>
      <c r="J310" s="11"/>
      <c r="K310" s="11"/>
      <c r="L310" s="11"/>
      <c r="M310" s="11"/>
      <c r="N310" s="11"/>
      <c r="O310" s="11">
        <v>123</v>
      </c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>
        <v>20</v>
      </c>
      <c r="AD310" s="11"/>
      <c r="AE310" s="11"/>
      <c r="AF310" s="11"/>
      <c r="AG310" s="11"/>
      <c r="AH310" s="11"/>
      <c r="AI310" s="11"/>
      <c r="AJ310" s="11"/>
      <c r="AK310" s="11">
        <v>103</v>
      </c>
      <c r="AL310" s="11"/>
      <c r="AM310" s="11"/>
      <c r="AN310" s="11"/>
      <c r="AO310" s="11"/>
      <c r="AP310" s="11">
        <v>123</v>
      </c>
      <c r="AQ310" s="11"/>
      <c r="AR310" s="11"/>
      <c r="AS310" s="11"/>
      <c r="AT310" s="20" t="str">
        <f>HYPERLINK("http://www.openstreetmap.org/?mlat=34.0304&amp;mlon=44.9445&amp;zoom=12#map=12/34.0304/44.9445","Maplink1")</f>
        <v>Maplink1</v>
      </c>
      <c r="AU310" s="20" t="str">
        <f>HYPERLINK("https://www.google.iq/maps/search/+34.0304,44.9445/@34.0304,44.9445,14z?hl=en","Maplink2")</f>
        <v>Maplink2</v>
      </c>
      <c r="AV310" s="20" t="str">
        <f>HYPERLINK("http://www.bing.com/maps/?lvl=14&amp;sty=h&amp;cp=34.0304~44.9445&amp;sp=point.34.0304_44.9445","Maplink3")</f>
        <v>Maplink3</v>
      </c>
    </row>
    <row r="311" spans="1:48" x14ac:dyDescent="0.25">
      <c r="A311" s="9">
        <v>26032</v>
      </c>
      <c r="B311" s="10" t="s">
        <v>13</v>
      </c>
      <c r="C311" s="10" t="s">
        <v>637</v>
      </c>
      <c r="D311" s="10" t="s">
        <v>689</v>
      </c>
      <c r="E311" s="10" t="s">
        <v>690</v>
      </c>
      <c r="F311" s="10">
        <v>34.0310299263</v>
      </c>
      <c r="G311" s="10">
        <v>44.945437450500002</v>
      </c>
      <c r="H311" s="11">
        <v>54</v>
      </c>
      <c r="I311" s="11">
        <v>324</v>
      </c>
      <c r="J311" s="11"/>
      <c r="K311" s="11"/>
      <c r="L311" s="11"/>
      <c r="M311" s="11"/>
      <c r="N311" s="11"/>
      <c r="O311" s="11">
        <v>54</v>
      </c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>
        <v>10</v>
      </c>
      <c r="AD311" s="11"/>
      <c r="AE311" s="11"/>
      <c r="AF311" s="11"/>
      <c r="AG311" s="11"/>
      <c r="AH311" s="11"/>
      <c r="AI311" s="11"/>
      <c r="AJ311" s="11"/>
      <c r="AK311" s="11">
        <v>44</v>
      </c>
      <c r="AL311" s="11"/>
      <c r="AM311" s="11"/>
      <c r="AN311" s="11"/>
      <c r="AO311" s="11"/>
      <c r="AP311" s="11">
        <v>54</v>
      </c>
      <c r="AQ311" s="11"/>
      <c r="AR311" s="11"/>
      <c r="AS311" s="11"/>
      <c r="AT311" s="20" t="str">
        <f>HYPERLINK("http://www.openstreetmap.org/?mlat=34.031&amp;mlon=44.9454&amp;zoom=12#map=12/34.031/44.9454","Maplink1")</f>
        <v>Maplink1</v>
      </c>
      <c r="AU311" s="20" t="str">
        <f>HYPERLINK("https://www.google.iq/maps/search/+34.031,44.9454/@34.031,44.9454,14z?hl=en","Maplink2")</f>
        <v>Maplink2</v>
      </c>
      <c r="AV311" s="20" t="str">
        <f>HYPERLINK("http://www.bing.com/maps/?lvl=14&amp;sty=h&amp;cp=34.031~44.9454&amp;sp=point.34.031_44.9454","Maplink3")</f>
        <v>Maplink3</v>
      </c>
    </row>
    <row r="312" spans="1:48" x14ac:dyDescent="0.25">
      <c r="A312" s="9">
        <v>11355</v>
      </c>
      <c r="B312" s="10" t="s">
        <v>13</v>
      </c>
      <c r="C312" s="10" t="s">
        <v>637</v>
      </c>
      <c r="D312" s="10" t="s">
        <v>691</v>
      </c>
      <c r="E312" s="10" t="s">
        <v>692</v>
      </c>
      <c r="F312" s="10">
        <v>34.031413117699998</v>
      </c>
      <c r="G312" s="10">
        <v>44.946332595900003</v>
      </c>
      <c r="H312" s="11">
        <v>310</v>
      </c>
      <c r="I312" s="11">
        <v>1860</v>
      </c>
      <c r="J312" s="11"/>
      <c r="K312" s="11"/>
      <c r="L312" s="11"/>
      <c r="M312" s="11"/>
      <c r="N312" s="11"/>
      <c r="O312" s="11">
        <v>305</v>
      </c>
      <c r="P312" s="11"/>
      <c r="Q312" s="11"/>
      <c r="R312" s="11">
        <v>5</v>
      </c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>
        <v>9</v>
      </c>
      <c r="AD312" s="11"/>
      <c r="AE312" s="11"/>
      <c r="AF312" s="11"/>
      <c r="AG312" s="11"/>
      <c r="AH312" s="11"/>
      <c r="AI312" s="11"/>
      <c r="AJ312" s="11"/>
      <c r="AK312" s="11">
        <v>301</v>
      </c>
      <c r="AL312" s="11"/>
      <c r="AM312" s="11"/>
      <c r="AN312" s="11"/>
      <c r="AO312" s="11"/>
      <c r="AP312" s="11">
        <v>310</v>
      </c>
      <c r="AQ312" s="11"/>
      <c r="AR312" s="11"/>
      <c r="AS312" s="11"/>
      <c r="AT312" s="20" t="str">
        <f>HYPERLINK("http://www.openstreetmap.org/?mlat=34.0314&amp;mlon=44.9463&amp;zoom=12#map=12/34.0314/44.9463","Maplink1")</f>
        <v>Maplink1</v>
      </c>
      <c r="AU312" s="20" t="str">
        <f>HYPERLINK("https://www.google.iq/maps/search/+34.0314,44.9463/@34.0314,44.9463,14z?hl=en","Maplink2")</f>
        <v>Maplink2</v>
      </c>
      <c r="AV312" s="20" t="str">
        <f>HYPERLINK("http://www.bing.com/maps/?lvl=14&amp;sty=h&amp;cp=34.0314~44.9463&amp;sp=point.34.0314_44.9463","Maplink3")</f>
        <v>Maplink3</v>
      </c>
    </row>
    <row r="313" spans="1:48" x14ac:dyDescent="0.25">
      <c r="A313" s="9">
        <v>29660</v>
      </c>
      <c r="B313" s="10" t="s">
        <v>13</v>
      </c>
      <c r="C313" s="10" t="s">
        <v>637</v>
      </c>
      <c r="D313" s="10" t="s">
        <v>693</v>
      </c>
      <c r="E313" s="10" t="s">
        <v>694</v>
      </c>
      <c r="F313" s="10">
        <v>34.031138911500001</v>
      </c>
      <c r="G313" s="10">
        <v>44.946053640000002</v>
      </c>
      <c r="H313" s="11">
        <v>35</v>
      </c>
      <c r="I313" s="11">
        <v>210</v>
      </c>
      <c r="J313" s="11"/>
      <c r="K313" s="11"/>
      <c r="L313" s="11"/>
      <c r="M313" s="11"/>
      <c r="N313" s="11"/>
      <c r="O313" s="11">
        <v>25</v>
      </c>
      <c r="P313" s="11"/>
      <c r="Q313" s="11"/>
      <c r="R313" s="11">
        <v>10</v>
      </c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>
        <v>35</v>
      </c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>
        <v>35</v>
      </c>
      <c r="AO313" s="11"/>
      <c r="AP313" s="11"/>
      <c r="AQ313" s="11"/>
      <c r="AR313" s="11"/>
      <c r="AS313" s="11"/>
      <c r="AT313" s="20" t="str">
        <f>HYPERLINK("http://www.openstreetmap.org/?mlat=34.0311&amp;mlon=44.9461&amp;zoom=12#map=12/34.0311/44.9461","Maplink1")</f>
        <v>Maplink1</v>
      </c>
      <c r="AU313" s="20" t="str">
        <f>HYPERLINK("https://www.google.iq/maps/search/+34.0311,44.9461/@34.0311,44.9461,14z?hl=en","Maplink2")</f>
        <v>Maplink2</v>
      </c>
      <c r="AV313" s="20" t="str">
        <f>HYPERLINK("http://www.bing.com/maps/?lvl=14&amp;sty=h&amp;cp=34.0311~44.9461&amp;sp=point.34.0311_44.9461","Maplink3")</f>
        <v>Maplink3</v>
      </c>
    </row>
    <row r="314" spans="1:48" x14ac:dyDescent="0.25">
      <c r="A314" s="9">
        <v>11187</v>
      </c>
      <c r="B314" s="10" t="s">
        <v>13</v>
      </c>
      <c r="C314" s="10" t="s">
        <v>637</v>
      </c>
      <c r="D314" s="10" t="s">
        <v>695</v>
      </c>
      <c r="E314" s="10" t="s">
        <v>696</v>
      </c>
      <c r="F314" s="10">
        <v>33.989339999999999</v>
      </c>
      <c r="G314" s="10">
        <v>44.974589999999999</v>
      </c>
      <c r="H314" s="11">
        <v>31</v>
      </c>
      <c r="I314" s="11">
        <v>186</v>
      </c>
      <c r="J314" s="11"/>
      <c r="K314" s="11"/>
      <c r="L314" s="11"/>
      <c r="M314" s="11"/>
      <c r="N314" s="11"/>
      <c r="O314" s="11">
        <v>31</v>
      </c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>
        <v>31</v>
      </c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>
        <v>31</v>
      </c>
      <c r="AO314" s="11"/>
      <c r="AP314" s="11"/>
      <c r="AQ314" s="11"/>
      <c r="AR314" s="11"/>
      <c r="AS314" s="11"/>
      <c r="AT314" s="20" t="str">
        <f>HYPERLINK("http://www.openstreetmap.org/?mlat=33.9893&amp;mlon=44.9746&amp;zoom=12#map=12/33.9893/44.9746","Maplink1")</f>
        <v>Maplink1</v>
      </c>
      <c r="AU314" s="20" t="str">
        <f>HYPERLINK("https://www.google.iq/maps/search/+33.9893,44.9746/@33.9893,44.9746,14z?hl=en","Maplink2")</f>
        <v>Maplink2</v>
      </c>
      <c r="AV314" s="20" t="str">
        <f>HYPERLINK("http://www.bing.com/maps/?lvl=14&amp;sty=h&amp;cp=33.9893~44.9746&amp;sp=point.33.9893_44.9746","Maplink3")</f>
        <v>Maplink3</v>
      </c>
    </row>
    <row r="315" spans="1:48" x14ac:dyDescent="0.25">
      <c r="A315" s="9">
        <v>11179</v>
      </c>
      <c r="B315" s="10" t="s">
        <v>13</v>
      </c>
      <c r="C315" s="10" t="s">
        <v>637</v>
      </c>
      <c r="D315" s="10" t="s">
        <v>697</v>
      </c>
      <c r="E315" s="10" t="s">
        <v>698</v>
      </c>
      <c r="F315" s="10">
        <v>33.983383653899999</v>
      </c>
      <c r="G315" s="10">
        <v>44.934642422899998</v>
      </c>
      <c r="H315" s="11">
        <v>329</v>
      </c>
      <c r="I315" s="11">
        <v>1974</v>
      </c>
      <c r="J315" s="11"/>
      <c r="K315" s="11"/>
      <c r="L315" s="11"/>
      <c r="M315" s="11"/>
      <c r="N315" s="11"/>
      <c r="O315" s="11">
        <v>329</v>
      </c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>
        <v>329</v>
      </c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>
        <v>329</v>
      </c>
      <c r="AO315" s="11"/>
      <c r="AP315" s="11"/>
      <c r="AQ315" s="11"/>
      <c r="AR315" s="11"/>
      <c r="AS315" s="11"/>
      <c r="AT315" s="20" t="str">
        <f>HYPERLINK("http://www.openstreetmap.org/?mlat=33.9834&amp;mlon=44.9346&amp;zoom=12#map=12/33.9834/44.9346","Maplink1")</f>
        <v>Maplink1</v>
      </c>
      <c r="AU315" s="20" t="str">
        <f>HYPERLINK("https://www.google.iq/maps/search/+33.9834,44.9346/@33.9834,44.9346,14z?hl=en","Maplink2")</f>
        <v>Maplink2</v>
      </c>
      <c r="AV315" s="20" t="str">
        <f>HYPERLINK("http://www.bing.com/maps/?lvl=14&amp;sty=h&amp;cp=33.9834~44.9346&amp;sp=point.33.9834_44.9346","Maplink3")</f>
        <v>Maplink3</v>
      </c>
    </row>
    <row r="316" spans="1:48" x14ac:dyDescent="0.25">
      <c r="A316" s="9">
        <v>25674</v>
      </c>
      <c r="B316" s="10" t="s">
        <v>13</v>
      </c>
      <c r="C316" s="10" t="s">
        <v>637</v>
      </c>
      <c r="D316" s="10" t="s">
        <v>699</v>
      </c>
      <c r="E316" s="10" t="s">
        <v>700</v>
      </c>
      <c r="F316" s="10">
        <v>34.002143970699997</v>
      </c>
      <c r="G316" s="10">
        <v>44.877961370999998</v>
      </c>
      <c r="H316" s="11">
        <v>26</v>
      </c>
      <c r="I316" s="11">
        <v>156</v>
      </c>
      <c r="J316" s="11"/>
      <c r="K316" s="11"/>
      <c r="L316" s="11"/>
      <c r="M316" s="11"/>
      <c r="N316" s="11"/>
      <c r="O316" s="11">
        <v>16</v>
      </c>
      <c r="P316" s="11"/>
      <c r="Q316" s="11"/>
      <c r="R316" s="11"/>
      <c r="S316" s="11"/>
      <c r="T316" s="11"/>
      <c r="U316" s="11"/>
      <c r="V316" s="11"/>
      <c r="W316" s="11"/>
      <c r="X316" s="11"/>
      <c r="Y316" s="11">
        <v>10</v>
      </c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>
        <v>26</v>
      </c>
      <c r="AL316" s="11"/>
      <c r="AM316" s="11"/>
      <c r="AN316" s="11"/>
      <c r="AO316" s="11"/>
      <c r="AP316" s="11">
        <v>26</v>
      </c>
      <c r="AQ316" s="11"/>
      <c r="AR316" s="11"/>
      <c r="AS316" s="11"/>
      <c r="AT316" s="20" t="str">
        <f>HYPERLINK("http://www.openstreetmap.org/?mlat=34.0021&amp;mlon=44.878&amp;zoom=12#map=12/34.0021/44.878","Maplink1")</f>
        <v>Maplink1</v>
      </c>
      <c r="AU316" s="20" t="str">
        <f>HYPERLINK("https://www.google.iq/maps/search/+34.0021,44.878/@34.0021,44.878,14z?hl=en","Maplink2")</f>
        <v>Maplink2</v>
      </c>
      <c r="AV316" s="20" t="str">
        <f>HYPERLINK("http://www.bing.com/maps/?lvl=14&amp;sty=h&amp;cp=34.0021~44.878&amp;sp=point.34.0021_44.878","Maplink3")</f>
        <v>Maplink3</v>
      </c>
    </row>
    <row r="317" spans="1:48" x14ac:dyDescent="0.25">
      <c r="A317" s="9">
        <v>25675</v>
      </c>
      <c r="B317" s="10" t="s">
        <v>13</v>
      </c>
      <c r="C317" s="10" t="s">
        <v>637</v>
      </c>
      <c r="D317" s="10" t="s">
        <v>701</v>
      </c>
      <c r="E317" s="10" t="s">
        <v>702</v>
      </c>
      <c r="F317" s="10">
        <v>34.011246087499998</v>
      </c>
      <c r="G317" s="10">
        <v>44.9009762986</v>
      </c>
      <c r="H317" s="11">
        <v>175</v>
      </c>
      <c r="I317" s="11">
        <v>1050</v>
      </c>
      <c r="J317" s="11"/>
      <c r="K317" s="11"/>
      <c r="L317" s="11"/>
      <c r="M317" s="11"/>
      <c r="N317" s="11"/>
      <c r="O317" s="11">
        <v>149</v>
      </c>
      <c r="P317" s="11"/>
      <c r="Q317" s="11"/>
      <c r="R317" s="11"/>
      <c r="S317" s="11"/>
      <c r="T317" s="11"/>
      <c r="U317" s="11"/>
      <c r="V317" s="11"/>
      <c r="W317" s="11"/>
      <c r="X317" s="11"/>
      <c r="Y317" s="11">
        <v>26</v>
      </c>
      <c r="Z317" s="11"/>
      <c r="AA317" s="11"/>
      <c r="AB317" s="11"/>
      <c r="AC317" s="11">
        <v>72</v>
      </c>
      <c r="AD317" s="11"/>
      <c r="AE317" s="11"/>
      <c r="AF317" s="11"/>
      <c r="AG317" s="11"/>
      <c r="AH317" s="11"/>
      <c r="AI317" s="11"/>
      <c r="AJ317" s="11"/>
      <c r="AK317" s="11">
        <v>103</v>
      </c>
      <c r="AL317" s="11"/>
      <c r="AM317" s="11"/>
      <c r="AN317" s="11"/>
      <c r="AO317" s="11"/>
      <c r="AP317" s="11">
        <v>175</v>
      </c>
      <c r="AQ317" s="11"/>
      <c r="AR317" s="11"/>
      <c r="AS317" s="11"/>
      <c r="AT317" s="20" t="str">
        <f>HYPERLINK("http://www.openstreetmap.org/?mlat=34.0112&amp;mlon=44.901&amp;zoom=12#map=12/34.0112/44.901","Maplink1")</f>
        <v>Maplink1</v>
      </c>
      <c r="AU317" s="20" t="str">
        <f>HYPERLINK("https://www.google.iq/maps/search/+34.0112,44.901/@34.0112,44.901,14z?hl=en","Maplink2")</f>
        <v>Maplink2</v>
      </c>
      <c r="AV317" s="20" t="str">
        <f>HYPERLINK("http://www.bing.com/maps/?lvl=14&amp;sty=h&amp;cp=34.0112~44.901&amp;sp=point.34.0112_44.901","Maplink3")</f>
        <v>Maplink3</v>
      </c>
    </row>
    <row r="318" spans="1:48" x14ac:dyDescent="0.25">
      <c r="A318" s="9">
        <v>26026</v>
      </c>
      <c r="B318" s="10" t="s">
        <v>13</v>
      </c>
      <c r="C318" s="10" t="s">
        <v>637</v>
      </c>
      <c r="D318" s="10" t="s">
        <v>703</v>
      </c>
      <c r="E318" s="10" t="s">
        <v>704</v>
      </c>
      <c r="F318" s="10">
        <v>34.026456042100001</v>
      </c>
      <c r="G318" s="10">
        <v>44.925579679800002</v>
      </c>
      <c r="H318" s="11">
        <v>193</v>
      </c>
      <c r="I318" s="11">
        <v>1158</v>
      </c>
      <c r="J318" s="11"/>
      <c r="K318" s="11"/>
      <c r="L318" s="11"/>
      <c r="M318" s="11"/>
      <c r="N318" s="11"/>
      <c r="O318" s="11">
        <v>193</v>
      </c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>
        <v>60</v>
      </c>
      <c r="AD318" s="11"/>
      <c r="AE318" s="11"/>
      <c r="AF318" s="11"/>
      <c r="AG318" s="11"/>
      <c r="AH318" s="11"/>
      <c r="AI318" s="11"/>
      <c r="AJ318" s="11"/>
      <c r="AK318" s="11">
        <v>133</v>
      </c>
      <c r="AL318" s="11"/>
      <c r="AM318" s="11"/>
      <c r="AN318" s="11"/>
      <c r="AO318" s="11"/>
      <c r="AP318" s="11">
        <v>193</v>
      </c>
      <c r="AQ318" s="11"/>
      <c r="AR318" s="11"/>
      <c r="AS318" s="11"/>
      <c r="AT318" s="20" t="str">
        <f>HYPERLINK("http://www.openstreetmap.org/?mlat=34.0265&amp;mlon=44.9256&amp;zoom=12#map=12/34.0265/44.9256","Maplink1")</f>
        <v>Maplink1</v>
      </c>
      <c r="AU318" s="20" t="str">
        <f>HYPERLINK("https://www.google.iq/maps/search/+34.0265,44.9256/@34.0265,44.9256,14z?hl=en","Maplink2")</f>
        <v>Maplink2</v>
      </c>
      <c r="AV318" s="20" t="str">
        <f>HYPERLINK("http://www.bing.com/maps/?lvl=14&amp;sty=h&amp;cp=34.0265~44.9256&amp;sp=point.34.0265_44.9256","Maplink3")</f>
        <v>Maplink3</v>
      </c>
    </row>
    <row r="319" spans="1:48" x14ac:dyDescent="0.25">
      <c r="A319" s="9">
        <v>11357</v>
      </c>
      <c r="B319" s="10" t="s">
        <v>13</v>
      </c>
      <c r="C319" s="10" t="s">
        <v>637</v>
      </c>
      <c r="D319" s="10" t="s">
        <v>705</v>
      </c>
      <c r="E319" s="10" t="s">
        <v>706</v>
      </c>
      <c r="F319" s="10">
        <v>34.011400000000002</v>
      </c>
      <c r="G319" s="10">
        <v>44.959499999999998</v>
      </c>
      <c r="H319" s="11">
        <v>81</v>
      </c>
      <c r="I319" s="11">
        <v>486</v>
      </c>
      <c r="J319" s="11"/>
      <c r="K319" s="11"/>
      <c r="L319" s="11"/>
      <c r="M319" s="11"/>
      <c r="N319" s="11"/>
      <c r="O319" s="11">
        <v>81</v>
      </c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>
        <v>81</v>
      </c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>
        <v>81</v>
      </c>
      <c r="AO319" s="11"/>
      <c r="AP319" s="11"/>
      <c r="AQ319" s="11"/>
      <c r="AR319" s="11"/>
      <c r="AS319" s="11"/>
      <c r="AT319" s="20" t="str">
        <f>HYPERLINK("http://www.openstreetmap.org/?mlat=34.0114&amp;mlon=44.9595&amp;zoom=12#map=12/34.0114/44.9595","Maplink1")</f>
        <v>Maplink1</v>
      </c>
      <c r="AU319" s="20" t="str">
        <f>HYPERLINK("https://www.google.iq/maps/search/+34.0114,44.9595/@34.0114,44.9595,14z?hl=en","Maplink2")</f>
        <v>Maplink2</v>
      </c>
      <c r="AV319" s="20" t="str">
        <f>HYPERLINK("http://www.bing.com/maps/?lvl=14&amp;sty=h&amp;cp=34.0114~44.9595&amp;sp=point.34.0114_44.9595","Maplink3")</f>
        <v>Maplink3</v>
      </c>
    </row>
    <row r="320" spans="1:48" x14ac:dyDescent="0.25">
      <c r="A320" s="9">
        <v>11327</v>
      </c>
      <c r="B320" s="10" t="s">
        <v>13</v>
      </c>
      <c r="C320" s="10" t="s">
        <v>637</v>
      </c>
      <c r="D320" s="10" t="s">
        <v>707</v>
      </c>
      <c r="E320" s="10" t="s">
        <v>708</v>
      </c>
      <c r="F320" s="10">
        <v>34.040167417699998</v>
      </c>
      <c r="G320" s="10">
        <v>44.9880740288</v>
      </c>
      <c r="H320" s="11">
        <v>218</v>
      </c>
      <c r="I320" s="11">
        <v>1308</v>
      </c>
      <c r="J320" s="11"/>
      <c r="K320" s="11"/>
      <c r="L320" s="11"/>
      <c r="M320" s="11"/>
      <c r="N320" s="11"/>
      <c r="O320" s="11">
        <v>128</v>
      </c>
      <c r="P320" s="11"/>
      <c r="Q320" s="11"/>
      <c r="R320" s="11"/>
      <c r="S320" s="11"/>
      <c r="T320" s="11"/>
      <c r="U320" s="11"/>
      <c r="V320" s="11"/>
      <c r="W320" s="11"/>
      <c r="X320" s="11"/>
      <c r="Y320" s="11">
        <v>90</v>
      </c>
      <c r="Z320" s="11"/>
      <c r="AA320" s="11"/>
      <c r="AB320" s="11"/>
      <c r="AC320" s="11">
        <v>90</v>
      </c>
      <c r="AD320" s="11"/>
      <c r="AE320" s="11"/>
      <c r="AF320" s="11"/>
      <c r="AG320" s="11"/>
      <c r="AH320" s="11"/>
      <c r="AI320" s="11"/>
      <c r="AJ320" s="11"/>
      <c r="AK320" s="11">
        <v>128</v>
      </c>
      <c r="AL320" s="11"/>
      <c r="AM320" s="11"/>
      <c r="AN320" s="11"/>
      <c r="AO320" s="11"/>
      <c r="AP320" s="11">
        <v>218</v>
      </c>
      <c r="AQ320" s="11"/>
      <c r="AR320" s="11"/>
      <c r="AS320" s="11"/>
      <c r="AT320" s="20" t="str">
        <f>HYPERLINK("http://www.openstreetmap.org/?mlat=34.0402&amp;mlon=44.9881&amp;zoom=12#map=12/34.0402/44.9881","Maplink1")</f>
        <v>Maplink1</v>
      </c>
      <c r="AU320" s="20" t="str">
        <f>HYPERLINK("https://www.google.iq/maps/search/+34.0402,44.9881/@34.0402,44.9881,14z?hl=en","Maplink2")</f>
        <v>Maplink2</v>
      </c>
      <c r="AV320" s="20" t="str">
        <f>HYPERLINK("http://www.bing.com/maps/?lvl=14&amp;sty=h&amp;cp=34.0402~44.9881&amp;sp=point.34.0402_44.9881","Maplink3")</f>
        <v>Maplink3</v>
      </c>
    </row>
    <row r="321" spans="1:48" x14ac:dyDescent="0.25">
      <c r="A321" s="9">
        <v>25982</v>
      </c>
      <c r="B321" s="10" t="s">
        <v>13</v>
      </c>
      <c r="C321" s="10" t="s">
        <v>637</v>
      </c>
      <c r="D321" s="10" t="s">
        <v>709</v>
      </c>
      <c r="E321" s="10" t="s">
        <v>710</v>
      </c>
      <c r="F321" s="10">
        <v>34.054803364400001</v>
      </c>
      <c r="G321" s="10">
        <v>44.944637857899998</v>
      </c>
      <c r="H321" s="11">
        <v>241</v>
      </c>
      <c r="I321" s="11">
        <v>1446</v>
      </c>
      <c r="J321" s="11"/>
      <c r="K321" s="11"/>
      <c r="L321" s="11"/>
      <c r="M321" s="11"/>
      <c r="N321" s="11"/>
      <c r="O321" s="11">
        <v>206</v>
      </c>
      <c r="P321" s="11"/>
      <c r="Q321" s="11"/>
      <c r="R321" s="11">
        <v>35</v>
      </c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>
        <v>30</v>
      </c>
      <c r="AD321" s="11"/>
      <c r="AE321" s="11"/>
      <c r="AF321" s="11"/>
      <c r="AG321" s="11"/>
      <c r="AH321" s="11"/>
      <c r="AI321" s="11"/>
      <c r="AJ321" s="11"/>
      <c r="AK321" s="11">
        <v>211</v>
      </c>
      <c r="AL321" s="11"/>
      <c r="AM321" s="11"/>
      <c r="AN321" s="11"/>
      <c r="AO321" s="11"/>
      <c r="AP321" s="11">
        <v>241</v>
      </c>
      <c r="AQ321" s="11"/>
      <c r="AR321" s="11"/>
      <c r="AS321" s="11"/>
      <c r="AT321" s="20" t="str">
        <f>HYPERLINK("http://www.openstreetmap.org/?mlat=34.0548&amp;mlon=44.9446&amp;zoom=12#map=12/34.0548/44.9446","Maplink1")</f>
        <v>Maplink1</v>
      </c>
      <c r="AU321" s="20" t="str">
        <f>HYPERLINK("https://www.google.iq/maps/search/+34.0548,44.9446/@34.0548,44.9446,14z?hl=en","Maplink2")</f>
        <v>Maplink2</v>
      </c>
      <c r="AV321" s="20" t="str">
        <f>HYPERLINK("http://www.bing.com/maps/?lvl=14&amp;sty=h&amp;cp=34.0548~44.9446&amp;sp=point.34.0548_44.9446","Maplink3")</f>
        <v>Maplink3</v>
      </c>
    </row>
    <row r="322" spans="1:48" x14ac:dyDescent="0.25">
      <c r="A322" s="9">
        <v>26073</v>
      </c>
      <c r="B322" s="10" t="s">
        <v>13</v>
      </c>
      <c r="C322" s="10" t="s">
        <v>637</v>
      </c>
      <c r="D322" s="10" t="s">
        <v>711</v>
      </c>
      <c r="E322" s="10" t="s">
        <v>712</v>
      </c>
      <c r="F322" s="10">
        <v>33.999200000000002</v>
      </c>
      <c r="G322" s="10">
        <v>44.881459999999997</v>
      </c>
      <c r="H322" s="11">
        <v>25</v>
      </c>
      <c r="I322" s="11">
        <v>150</v>
      </c>
      <c r="J322" s="11"/>
      <c r="K322" s="11"/>
      <c r="L322" s="11"/>
      <c r="M322" s="11"/>
      <c r="N322" s="11"/>
      <c r="O322" s="11">
        <v>25</v>
      </c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>
        <v>25</v>
      </c>
      <c r="AL322" s="11"/>
      <c r="AM322" s="11"/>
      <c r="AN322" s="11"/>
      <c r="AO322" s="11"/>
      <c r="AP322" s="11">
        <v>25</v>
      </c>
      <c r="AQ322" s="11"/>
      <c r="AR322" s="11"/>
      <c r="AS322" s="11"/>
      <c r="AT322" s="20" t="str">
        <f>HYPERLINK("http://www.openstreetmap.org/?mlat=33.9992&amp;mlon=44.8815&amp;zoom=12#map=12/33.9992/44.8815","Maplink1")</f>
        <v>Maplink1</v>
      </c>
      <c r="AU322" s="20" t="str">
        <f>HYPERLINK("https://www.google.iq/maps/search/+33.9992,44.8815/@33.9992,44.8815,14z?hl=en","Maplink2")</f>
        <v>Maplink2</v>
      </c>
      <c r="AV322" s="20" t="str">
        <f>HYPERLINK("http://www.bing.com/maps/?lvl=14&amp;sty=h&amp;cp=33.9992~44.8815&amp;sp=point.33.9992_44.8815","Maplink3")</f>
        <v>Maplink3</v>
      </c>
    </row>
    <row r="323" spans="1:48" x14ac:dyDescent="0.25">
      <c r="A323" s="9">
        <v>21308</v>
      </c>
      <c r="B323" s="10" t="s">
        <v>13</v>
      </c>
      <c r="C323" s="10" t="s">
        <v>637</v>
      </c>
      <c r="D323" s="10" t="s">
        <v>713</v>
      </c>
      <c r="E323" s="10" t="s">
        <v>714</v>
      </c>
      <c r="F323" s="10">
        <v>33.990359640500003</v>
      </c>
      <c r="G323" s="10">
        <v>44.947947272100002</v>
      </c>
      <c r="H323" s="11">
        <v>24</v>
      </c>
      <c r="I323" s="11">
        <v>144</v>
      </c>
      <c r="J323" s="11"/>
      <c r="K323" s="11"/>
      <c r="L323" s="11"/>
      <c r="M323" s="11"/>
      <c r="N323" s="11"/>
      <c r="O323" s="11">
        <v>24</v>
      </c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>
        <v>24</v>
      </c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>
        <v>24</v>
      </c>
      <c r="AO323" s="11"/>
      <c r="AP323" s="11"/>
      <c r="AQ323" s="11"/>
      <c r="AR323" s="11"/>
      <c r="AS323" s="11"/>
      <c r="AT323" s="20" t="str">
        <f>HYPERLINK("http://www.openstreetmap.org/?mlat=33.9904&amp;mlon=44.9479&amp;zoom=12#map=12/33.9904/44.9479","Maplink1")</f>
        <v>Maplink1</v>
      </c>
      <c r="AU323" s="20" t="str">
        <f>HYPERLINK("https://www.google.iq/maps/search/+33.9904,44.9479/@33.9904,44.9479,14z?hl=en","Maplink2")</f>
        <v>Maplink2</v>
      </c>
      <c r="AV323" s="20" t="str">
        <f>HYPERLINK("http://www.bing.com/maps/?lvl=14&amp;sty=h&amp;cp=33.9904~44.9479&amp;sp=point.33.9904_44.9479","Maplink3")</f>
        <v>Maplink3</v>
      </c>
    </row>
    <row r="324" spans="1:48" x14ac:dyDescent="0.25">
      <c r="A324" s="9">
        <v>25685</v>
      </c>
      <c r="B324" s="10" t="s">
        <v>13</v>
      </c>
      <c r="C324" s="10" t="s">
        <v>637</v>
      </c>
      <c r="D324" s="10" t="s">
        <v>715</v>
      </c>
      <c r="E324" s="10" t="s">
        <v>716</v>
      </c>
      <c r="F324" s="10">
        <v>33.998164351600003</v>
      </c>
      <c r="G324" s="10">
        <v>44.975042932400001</v>
      </c>
      <c r="H324" s="11">
        <v>177</v>
      </c>
      <c r="I324" s="11">
        <v>1062</v>
      </c>
      <c r="J324" s="11"/>
      <c r="K324" s="11"/>
      <c r="L324" s="11"/>
      <c r="M324" s="11"/>
      <c r="N324" s="11"/>
      <c r="O324" s="11">
        <v>177</v>
      </c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>
        <v>107</v>
      </c>
      <c r="AD324" s="11"/>
      <c r="AE324" s="11"/>
      <c r="AF324" s="11"/>
      <c r="AG324" s="11"/>
      <c r="AH324" s="11"/>
      <c r="AI324" s="11"/>
      <c r="AJ324" s="11"/>
      <c r="AK324" s="11">
        <v>70</v>
      </c>
      <c r="AL324" s="11"/>
      <c r="AM324" s="11"/>
      <c r="AN324" s="11"/>
      <c r="AO324" s="11"/>
      <c r="AP324" s="11">
        <v>177</v>
      </c>
      <c r="AQ324" s="11"/>
      <c r="AR324" s="11"/>
      <c r="AS324" s="11"/>
      <c r="AT324" s="20" t="str">
        <f>HYPERLINK("http://www.openstreetmap.org/?mlat=33.9982&amp;mlon=44.975&amp;zoom=12#map=12/33.9982/44.975","Maplink1")</f>
        <v>Maplink1</v>
      </c>
      <c r="AU324" s="20" t="str">
        <f>HYPERLINK("https://www.google.iq/maps/search/+33.9982,44.975/@33.9982,44.975,14z?hl=en","Maplink2")</f>
        <v>Maplink2</v>
      </c>
      <c r="AV324" s="20" t="str">
        <f>HYPERLINK("http://www.bing.com/maps/?lvl=14&amp;sty=h&amp;cp=33.9982~44.975&amp;sp=point.33.9982_44.975","Maplink3")</f>
        <v>Maplink3</v>
      </c>
    </row>
    <row r="325" spans="1:48" x14ac:dyDescent="0.25">
      <c r="A325" s="9">
        <v>25948</v>
      </c>
      <c r="B325" s="10" t="s">
        <v>13</v>
      </c>
      <c r="C325" s="10" t="s">
        <v>637</v>
      </c>
      <c r="D325" s="10" t="s">
        <v>717</v>
      </c>
      <c r="E325" s="10" t="s">
        <v>718</v>
      </c>
      <c r="F325" s="10">
        <v>34.048459999999999</v>
      </c>
      <c r="G325" s="10">
        <v>44.98265</v>
      </c>
      <c r="H325" s="11">
        <v>452</v>
      </c>
      <c r="I325" s="11">
        <v>2712</v>
      </c>
      <c r="J325" s="11"/>
      <c r="K325" s="11"/>
      <c r="L325" s="11"/>
      <c r="M325" s="11"/>
      <c r="N325" s="11"/>
      <c r="O325" s="11">
        <v>452</v>
      </c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>
        <v>306</v>
      </c>
      <c r="AD325" s="11"/>
      <c r="AE325" s="11"/>
      <c r="AF325" s="11"/>
      <c r="AG325" s="11"/>
      <c r="AH325" s="11"/>
      <c r="AI325" s="11"/>
      <c r="AJ325" s="11"/>
      <c r="AK325" s="11">
        <v>146</v>
      </c>
      <c r="AL325" s="11"/>
      <c r="AM325" s="11"/>
      <c r="AN325" s="11">
        <v>130</v>
      </c>
      <c r="AO325" s="11"/>
      <c r="AP325" s="11">
        <v>322</v>
      </c>
      <c r="AQ325" s="11"/>
      <c r="AR325" s="11"/>
      <c r="AS325" s="11"/>
      <c r="AT325" s="20" t="str">
        <f>HYPERLINK("http://www.openstreetmap.org/?mlat=34.0485&amp;mlon=44.9827&amp;zoom=12#map=12/34.0485/44.9827","Maplink1")</f>
        <v>Maplink1</v>
      </c>
      <c r="AU325" s="20" t="str">
        <f>HYPERLINK("https://www.google.iq/maps/search/+34.0485,44.9827/@34.0485,44.9827,14z?hl=en","Maplink2")</f>
        <v>Maplink2</v>
      </c>
      <c r="AV325" s="20" t="str">
        <f>HYPERLINK("http://www.bing.com/maps/?lvl=14&amp;sty=h&amp;cp=34.0485~44.9827&amp;sp=point.34.0485_44.9827","Maplink3")</f>
        <v>Maplink3</v>
      </c>
    </row>
    <row r="326" spans="1:48" x14ac:dyDescent="0.25">
      <c r="A326" s="9">
        <v>26029</v>
      </c>
      <c r="B326" s="10" t="s">
        <v>13</v>
      </c>
      <c r="C326" s="10" t="s">
        <v>637</v>
      </c>
      <c r="D326" s="10" t="s">
        <v>719</v>
      </c>
      <c r="E326" s="10" t="s">
        <v>720</v>
      </c>
      <c r="F326" s="10">
        <v>33.991300000000003</v>
      </c>
      <c r="G326" s="10">
        <v>44.871499999999997</v>
      </c>
      <c r="H326" s="11">
        <v>380</v>
      </c>
      <c r="I326" s="11">
        <v>2280</v>
      </c>
      <c r="J326" s="11"/>
      <c r="K326" s="11"/>
      <c r="L326" s="11"/>
      <c r="M326" s="11"/>
      <c r="N326" s="11"/>
      <c r="O326" s="11">
        <v>380</v>
      </c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>
        <v>200</v>
      </c>
      <c r="AD326" s="11"/>
      <c r="AE326" s="11"/>
      <c r="AF326" s="11"/>
      <c r="AG326" s="11"/>
      <c r="AH326" s="11"/>
      <c r="AI326" s="11"/>
      <c r="AJ326" s="11"/>
      <c r="AK326" s="11">
        <v>180</v>
      </c>
      <c r="AL326" s="11"/>
      <c r="AM326" s="11"/>
      <c r="AN326" s="11"/>
      <c r="AO326" s="11"/>
      <c r="AP326" s="11">
        <v>380</v>
      </c>
      <c r="AQ326" s="11"/>
      <c r="AR326" s="11"/>
      <c r="AS326" s="11"/>
      <c r="AT326" s="20" t="str">
        <f>HYPERLINK("http://www.openstreetmap.org/?mlat=33.9913&amp;mlon=44.8715&amp;zoom=12#map=12/33.9913/44.8715","Maplink1")</f>
        <v>Maplink1</v>
      </c>
      <c r="AU326" s="20" t="str">
        <f>HYPERLINK("https://www.google.iq/maps/search/+33.9913,44.8715/@33.9913,44.8715,14z?hl=en","Maplink2")</f>
        <v>Maplink2</v>
      </c>
      <c r="AV326" s="20" t="str">
        <f>HYPERLINK("http://www.bing.com/maps/?lvl=14&amp;sty=h&amp;cp=33.9913~44.8715&amp;sp=point.33.9913_44.8715","Maplink3")</f>
        <v>Maplink3</v>
      </c>
    </row>
    <row r="327" spans="1:48" x14ac:dyDescent="0.25">
      <c r="A327" s="9">
        <v>26115</v>
      </c>
      <c r="B327" s="10" t="s">
        <v>13</v>
      </c>
      <c r="C327" s="10" t="s">
        <v>637</v>
      </c>
      <c r="D327" s="10" t="s">
        <v>721</v>
      </c>
      <c r="E327" s="10" t="s">
        <v>722</v>
      </c>
      <c r="F327" s="10">
        <v>34.001574262299997</v>
      </c>
      <c r="G327" s="10">
        <v>44.935057387900002</v>
      </c>
      <c r="H327" s="11">
        <v>750</v>
      </c>
      <c r="I327" s="11">
        <v>4500</v>
      </c>
      <c r="J327" s="11"/>
      <c r="K327" s="11"/>
      <c r="L327" s="11"/>
      <c r="M327" s="11"/>
      <c r="N327" s="11"/>
      <c r="O327" s="11">
        <v>685</v>
      </c>
      <c r="P327" s="11"/>
      <c r="Q327" s="11"/>
      <c r="R327" s="11">
        <v>50</v>
      </c>
      <c r="S327" s="11"/>
      <c r="T327" s="11"/>
      <c r="U327" s="11"/>
      <c r="V327" s="11"/>
      <c r="W327" s="11"/>
      <c r="X327" s="11"/>
      <c r="Y327" s="11">
        <v>15</v>
      </c>
      <c r="Z327" s="11"/>
      <c r="AA327" s="11"/>
      <c r="AB327" s="11"/>
      <c r="AC327" s="11">
        <v>636</v>
      </c>
      <c r="AD327" s="11"/>
      <c r="AE327" s="11"/>
      <c r="AF327" s="11"/>
      <c r="AG327" s="11"/>
      <c r="AH327" s="11"/>
      <c r="AI327" s="11"/>
      <c r="AJ327" s="11"/>
      <c r="AK327" s="11">
        <v>114</v>
      </c>
      <c r="AL327" s="11"/>
      <c r="AM327" s="11"/>
      <c r="AN327" s="11"/>
      <c r="AO327" s="11"/>
      <c r="AP327" s="11">
        <v>750</v>
      </c>
      <c r="AQ327" s="11"/>
      <c r="AR327" s="11"/>
      <c r="AS327" s="11"/>
      <c r="AT327" s="20" t="str">
        <f>HYPERLINK("http://www.openstreetmap.org/?mlat=34.0016&amp;mlon=44.9351&amp;zoom=12#map=12/34.0016/44.9351","Maplink1")</f>
        <v>Maplink1</v>
      </c>
      <c r="AU327" s="20" t="str">
        <f>HYPERLINK("https://www.google.iq/maps/search/+34.0016,44.9351/@34.0016,44.9351,14z?hl=en","Maplink2")</f>
        <v>Maplink2</v>
      </c>
      <c r="AV327" s="20" t="str">
        <f>HYPERLINK("http://www.bing.com/maps/?lvl=14&amp;sty=h&amp;cp=34.0016~44.9351&amp;sp=point.34.0016_44.9351","Maplink3")</f>
        <v>Maplink3</v>
      </c>
    </row>
    <row r="328" spans="1:48" x14ac:dyDescent="0.25">
      <c r="A328" s="9">
        <v>26031</v>
      </c>
      <c r="B328" s="10" t="s">
        <v>13</v>
      </c>
      <c r="C328" s="10" t="s">
        <v>637</v>
      </c>
      <c r="D328" s="10" t="s">
        <v>723</v>
      </c>
      <c r="E328" s="10" t="s">
        <v>724</v>
      </c>
      <c r="F328" s="10">
        <v>34.037039999999998</v>
      </c>
      <c r="G328" s="10">
        <v>44.929110000000001</v>
      </c>
      <c r="H328" s="11">
        <v>45</v>
      </c>
      <c r="I328" s="11">
        <v>270</v>
      </c>
      <c r="J328" s="11"/>
      <c r="K328" s="11"/>
      <c r="L328" s="11"/>
      <c r="M328" s="11"/>
      <c r="N328" s="11"/>
      <c r="O328" s="11">
        <v>42</v>
      </c>
      <c r="P328" s="11"/>
      <c r="Q328" s="11"/>
      <c r="R328" s="11">
        <v>3</v>
      </c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>
        <v>10</v>
      </c>
      <c r="AD328" s="11"/>
      <c r="AE328" s="11"/>
      <c r="AF328" s="11"/>
      <c r="AG328" s="11"/>
      <c r="AH328" s="11"/>
      <c r="AI328" s="11"/>
      <c r="AJ328" s="11"/>
      <c r="AK328" s="11">
        <v>35</v>
      </c>
      <c r="AL328" s="11"/>
      <c r="AM328" s="11"/>
      <c r="AN328" s="11"/>
      <c r="AO328" s="11"/>
      <c r="AP328" s="11">
        <v>45</v>
      </c>
      <c r="AQ328" s="11"/>
      <c r="AR328" s="11"/>
      <c r="AS328" s="11"/>
      <c r="AT328" s="20" t="str">
        <f>HYPERLINK("http://www.openstreetmap.org/?mlat=34.037&amp;mlon=44.9291&amp;zoom=12#map=12/34.037/44.9291","Maplink1")</f>
        <v>Maplink1</v>
      </c>
      <c r="AU328" s="20" t="str">
        <f>HYPERLINK("https://www.google.iq/maps/search/+34.037,44.9291/@34.037,44.9291,14z?hl=en","Maplink2")</f>
        <v>Maplink2</v>
      </c>
      <c r="AV328" s="20" t="str">
        <f>HYPERLINK("http://www.bing.com/maps/?lvl=14&amp;sty=h&amp;cp=34.037~44.9291&amp;sp=point.34.037_44.9291","Maplink3")</f>
        <v>Maplink3</v>
      </c>
    </row>
    <row r="329" spans="1:48" x14ac:dyDescent="0.25">
      <c r="A329" s="9">
        <v>11287</v>
      </c>
      <c r="B329" s="10" t="s">
        <v>13</v>
      </c>
      <c r="C329" s="10" t="s">
        <v>637</v>
      </c>
      <c r="D329" s="10" t="s">
        <v>725</v>
      </c>
      <c r="E329" s="10" t="s">
        <v>726</v>
      </c>
      <c r="F329" s="10">
        <v>34.003206270600003</v>
      </c>
      <c r="G329" s="10">
        <v>44.980897196199997</v>
      </c>
      <c r="H329" s="11">
        <v>319</v>
      </c>
      <c r="I329" s="11">
        <v>1914</v>
      </c>
      <c r="J329" s="11"/>
      <c r="K329" s="11"/>
      <c r="L329" s="11"/>
      <c r="M329" s="11"/>
      <c r="N329" s="11"/>
      <c r="O329" s="11">
        <v>219</v>
      </c>
      <c r="P329" s="11"/>
      <c r="Q329" s="11"/>
      <c r="R329" s="11"/>
      <c r="S329" s="11"/>
      <c r="T329" s="11"/>
      <c r="U329" s="11"/>
      <c r="V329" s="11"/>
      <c r="W329" s="11"/>
      <c r="X329" s="11"/>
      <c r="Y329" s="11">
        <v>100</v>
      </c>
      <c r="Z329" s="11"/>
      <c r="AA329" s="11"/>
      <c r="AB329" s="11"/>
      <c r="AC329" s="11">
        <v>64</v>
      </c>
      <c r="AD329" s="11"/>
      <c r="AE329" s="11"/>
      <c r="AF329" s="11"/>
      <c r="AG329" s="11"/>
      <c r="AH329" s="11"/>
      <c r="AI329" s="11"/>
      <c r="AJ329" s="11"/>
      <c r="AK329" s="11">
        <v>255</v>
      </c>
      <c r="AL329" s="11"/>
      <c r="AM329" s="11"/>
      <c r="AN329" s="11"/>
      <c r="AO329" s="11"/>
      <c r="AP329" s="11">
        <v>319</v>
      </c>
      <c r="AQ329" s="11"/>
      <c r="AR329" s="11"/>
      <c r="AS329" s="11"/>
      <c r="AT329" s="20" t="str">
        <f>HYPERLINK("http://www.openstreetmap.org/?mlat=34.0032&amp;mlon=44.9809&amp;zoom=12#map=12/34.0032/44.9809","Maplink1")</f>
        <v>Maplink1</v>
      </c>
      <c r="AU329" s="20" t="str">
        <f>HYPERLINK("https://www.google.iq/maps/search/+34.0032,44.9809/@34.0032,44.9809,14z?hl=en","Maplink2")</f>
        <v>Maplink2</v>
      </c>
      <c r="AV329" s="20" t="str">
        <f>HYPERLINK("http://www.bing.com/maps/?lvl=14&amp;sty=h&amp;cp=34.0032~44.9809&amp;sp=point.34.0032_44.9809","Maplink3")</f>
        <v>Maplink3</v>
      </c>
    </row>
    <row r="330" spans="1:48" x14ac:dyDescent="0.25">
      <c r="A330" s="9">
        <v>23131</v>
      </c>
      <c r="B330" s="10" t="s">
        <v>13</v>
      </c>
      <c r="C330" s="10" t="s">
        <v>637</v>
      </c>
      <c r="D330" s="10" t="s">
        <v>727</v>
      </c>
      <c r="E330" s="10" t="s">
        <v>728</v>
      </c>
      <c r="F330" s="10">
        <v>34.0208901743</v>
      </c>
      <c r="G330" s="10">
        <v>44.932321139000003</v>
      </c>
      <c r="H330" s="11">
        <v>49</v>
      </c>
      <c r="I330" s="11">
        <v>294</v>
      </c>
      <c r="J330" s="11"/>
      <c r="K330" s="11"/>
      <c r="L330" s="11"/>
      <c r="M330" s="11"/>
      <c r="N330" s="11"/>
      <c r="O330" s="11">
        <v>49</v>
      </c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>
        <v>49</v>
      </c>
      <c r="AL330" s="11"/>
      <c r="AM330" s="11"/>
      <c r="AN330" s="11"/>
      <c r="AO330" s="11"/>
      <c r="AP330" s="11">
        <v>49</v>
      </c>
      <c r="AQ330" s="11"/>
      <c r="AR330" s="11"/>
      <c r="AS330" s="11"/>
      <c r="AT330" s="20" t="str">
        <f>HYPERLINK("http://www.openstreetmap.org/?mlat=34.0209&amp;mlon=44.9323&amp;zoom=12#map=12/34.0209/44.9323","Maplink1")</f>
        <v>Maplink1</v>
      </c>
      <c r="AU330" s="20" t="str">
        <f>HYPERLINK("https://www.google.iq/maps/search/+34.0209,44.9323/@34.0209,44.9323,14z?hl=en","Maplink2")</f>
        <v>Maplink2</v>
      </c>
      <c r="AV330" s="20" t="str">
        <f>HYPERLINK("http://www.bing.com/maps/?lvl=14&amp;sty=h&amp;cp=34.0209~44.9323&amp;sp=point.34.0209_44.9323","Maplink3")</f>
        <v>Maplink3</v>
      </c>
    </row>
    <row r="331" spans="1:48" x14ac:dyDescent="0.25">
      <c r="A331" s="9">
        <v>25679</v>
      </c>
      <c r="B331" s="10" t="s">
        <v>13</v>
      </c>
      <c r="C331" s="10" t="s">
        <v>637</v>
      </c>
      <c r="D331" s="10" t="s">
        <v>729</v>
      </c>
      <c r="E331" s="10" t="s">
        <v>730</v>
      </c>
      <c r="F331" s="10">
        <v>34.0237590005</v>
      </c>
      <c r="G331" s="10">
        <v>44.996196449400003</v>
      </c>
      <c r="H331" s="11">
        <v>140</v>
      </c>
      <c r="I331" s="11">
        <v>840</v>
      </c>
      <c r="J331" s="11"/>
      <c r="K331" s="11"/>
      <c r="L331" s="11"/>
      <c r="M331" s="11"/>
      <c r="N331" s="11"/>
      <c r="O331" s="11">
        <v>140</v>
      </c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>
        <v>40</v>
      </c>
      <c r="AD331" s="11"/>
      <c r="AE331" s="11"/>
      <c r="AF331" s="11"/>
      <c r="AG331" s="11"/>
      <c r="AH331" s="11"/>
      <c r="AI331" s="11"/>
      <c r="AJ331" s="11"/>
      <c r="AK331" s="11">
        <v>100</v>
      </c>
      <c r="AL331" s="11"/>
      <c r="AM331" s="11"/>
      <c r="AN331" s="11"/>
      <c r="AO331" s="11"/>
      <c r="AP331" s="11">
        <v>140</v>
      </c>
      <c r="AQ331" s="11"/>
      <c r="AR331" s="11"/>
      <c r="AS331" s="11"/>
      <c r="AT331" s="20" t="str">
        <f>HYPERLINK("http://www.openstreetmap.org/?mlat=34.0238&amp;mlon=44.9962&amp;zoom=12#map=12/34.0238/44.9962","Maplink1")</f>
        <v>Maplink1</v>
      </c>
      <c r="AU331" s="20" t="str">
        <f>HYPERLINK("https://www.google.iq/maps/search/+34.0238,44.9962/@34.0238,44.9962,14z?hl=en","Maplink2")</f>
        <v>Maplink2</v>
      </c>
      <c r="AV331" s="20" t="str">
        <f>HYPERLINK("http://www.bing.com/maps/?lvl=14&amp;sty=h&amp;cp=34.0238~44.9962&amp;sp=point.34.0238_44.9962","Maplink3")</f>
        <v>Maplink3</v>
      </c>
    </row>
    <row r="332" spans="1:48" x14ac:dyDescent="0.25">
      <c r="A332" s="9">
        <v>26113</v>
      </c>
      <c r="B332" s="10" t="s">
        <v>13</v>
      </c>
      <c r="C332" s="10" t="s">
        <v>637</v>
      </c>
      <c r="D332" s="10" t="s">
        <v>731</v>
      </c>
      <c r="E332" s="10" t="s">
        <v>732</v>
      </c>
      <c r="F332" s="10">
        <v>34.059930000000001</v>
      </c>
      <c r="G332" s="10">
        <v>44.981920000000002</v>
      </c>
      <c r="H332" s="11">
        <v>60</v>
      </c>
      <c r="I332" s="11">
        <v>360</v>
      </c>
      <c r="J332" s="11"/>
      <c r="K332" s="11"/>
      <c r="L332" s="11"/>
      <c r="M332" s="11"/>
      <c r="N332" s="11"/>
      <c r="O332" s="11">
        <v>60</v>
      </c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>
        <v>60</v>
      </c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>
        <v>60</v>
      </c>
      <c r="AQ332" s="11"/>
      <c r="AR332" s="11"/>
      <c r="AS332" s="11"/>
      <c r="AT332" s="20" t="str">
        <f>HYPERLINK("http://www.openstreetmap.org/?mlat=34.0599&amp;mlon=44.9819&amp;zoom=12#map=12/34.0599/44.9819","Maplink1")</f>
        <v>Maplink1</v>
      </c>
      <c r="AU332" s="20" t="str">
        <f>HYPERLINK("https://www.google.iq/maps/search/+34.0599,44.9819/@34.0599,44.9819,14z?hl=en","Maplink2")</f>
        <v>Maplink2</v>
      </c>
      <c r="AV332" s="20" t="str">
        <f>HYPERLINK("http://www.bing.com/maps/?lvl=14&amp;sty=h&amp;cp=34.0599~44.9819&amp;sp=point.34.0599_44.9819","Maplink3")</f>
        <v>Maplink3</v>
      </c>
    </row>
    <row r="333" spans="1:48" x14ac:dyDescent="0.25">
      <c r="A333" s="9">
        <v>27155</v>
      </c>
      <c r="B333" s="10" t="s">
        <v>13</v>
      </c>
      <c r="C333" s="10" t="s">
        <v>637</v>
      </c>
      <c r="D333" s="10" t="s">
        <v>733</v>
      </c>
      <c r="E333" s="10" t="s">
        <v>734</v>
      </c>
      <c r="F333" s="10">
        <v>33.9900964343</v>
      </c>
      <c r="G333" s="10">
        <v>44.936220613499998</v>
      </c>
      <c r="H333" s="11">
        <v>60</v>
      </c>
      <c r="I333" s="11">
        <v>360</v>
      </c>
      <c r="J333" s="11"/>
      <c r="K333" s="11"/>
      <c r="L333" s="11"/>
      <c r="M333" s="11"/>
      <c r="N333" s="11"/>
      <c r="O333" s="11">
        <v>45</v>
      </c>
      <c r="P333" s="11"/>
      <c r="Q333" s="11"/>
      <c r="R333" s="11">
        <v>15</v>
      </c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>
        <v>5</v>
      </c>
      <c r="AD333" s="11"/>
      <c r="AE333" s="11"/>
      <c r="AF333" s="11"/>
      <c r="AG333" s="11"/>
      <c r="AH333" s="11"/>
      <c r="AI333" s="11"/>
      <c r="AJ333" s="11"/>
      <c r="AK333" s="11">
        <v>55</v>
      </c>
      <c r="AL333" s="11"/>
      <c r="AM333" s="11"/>
      <c r="AN333" s="11">
        <v>60</v>
      </c>
      <c r="AO333" s="11"/>
      <c r="AP333" s="11"/>
      <c r="AQ333" s="11"/>
      <c r="AR333" s="11"/>
      <c r="AS333" s="11"/>
      <c r="AT333" s="20" t="str">
        <f>HYPERLINK("http://www.openstreetmap.org/?mlat=33.9901&amp;mlon=44.9362&amp;zoom=12#map=12/33.9901/44.9362","Maplink1")</f>
        <v>Maplink1</v>
      </c>
      <c r="AU333" s="20" t="str">
        <f>HYPERLINK("https://www.google.iq/maps/search/+33.9901,44.9362/@33.9901,44.9362,14z?hl=en","Maplink2")</f>
        <v>Maplink2</v>
      </c>
      <c r="AV333" s="20" t="str">
        <f>HYPERLINK("http://www.bing.com/maps/?lvl=14&amp;sty=h&amp;cp=33.9901~44.9362&amp;sp=point.33.9901_44.9362","Maplink3")</f>
        <v>Maplink3</v>
      </c>
    </row>
    <row r="334" spans="1:48" x14ac:dyDescent="0.25">
      <c r="A334" s="9">
        <v>27156</v>
      </c>
      <c r="B334" s="10" t="s">
        <v>13</v>
      </c>
      <c r="C334" s="10" t="s">
        <v>637</v>
      </c>
      <c r="D334" s="10" t="s">
        <v>735</v>
      </c>
      <c r="E334" s="10" t="s">
        <v>736</v>
      </c>
      <c r="F334" s="10">
        <v>33.992420813000003</v>
      </c>
      <c r="G334" s="10">
        <v>44.935857447099998</v>
      </c>
      <c r="H334" s="11">
        <v>65</v>
      </c>
      <c r="I334" s="11">
        <v>390</v>
      </c>
      <c r="J334" s="11"/>
      <c r="K334" s="11"/>
      <c r="L334" s="11"/>
      <c r="M334" s="11"/>
      <c r="N334" s="11"/>
      <c r="O334" s="11">
        <v>50</v>
      </c>
      <c r="P334" s="11"/>
      <c r="Q334" s="11"/>
      <c r="R334" s="11">
        <v>15</v>
      </c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>
        <v>18</v>
      </c>
      <c r="AD334" s="11"/>
      <c r="AE334" s="11"/>
      <c r="AF334" s="11"/>
      <c r="AG334" s="11"/>
      <c r="AH334" s="11"/>
      <c r="AI334" s="11"/>
      <c r="AJ334" s="11"/>
      <c r="AK334" s="11">
        <v>47</v>
      </c>
      <c r="AL334" s="11"/>
      <c r="AM334" s="11"/>
      <c r="AN334" s="11">
        <v>65</v>
      </c>
      <c r="AO334" s="11"/>
      <c r="AP334" s="11"/>
      <c r="AQ334" s="11"/>
      <c r="AR334" s="11"/>
      <c r="AS334" s="11"/>
      <c r="AT334" s="20" t="str">
        <f>HYPERLINK("http://www.openstreetmap.org/?mlat=33.9924&amp;mlon=44.9359&amp;zoom=12#map=12/33.9924/44.9359","Maplink1")</f>
        <v>Maplink1</v>
      </c>
      <c r="AU334" s="20" t="str">
        <f>HYPERLINK("https://www.google.iq/maps/search/+33.9924,44.9359/@33.9924,44.9359,14z?hl=en","Maplink2")</f>
        <v>Maplink2</v>
      </c>
      <c r="AV334" s="20" t="str">
        <f>HYPERLINK("http://www.bing.com/maps/?lvl=14&amp;sty=h&amp;cp=33.9924~44.9359&amp;sp=point.33.9924_44.9359","Maplink3")</f>
        <v>Maplink3</v>
      </c>
    </row>
    <row r="335" spans="1:48" x14ac:dyDescent="0.25">
      <c r="A335" s="9">
        <v>27392</v>
      </c>
      <c r="B335" s="10" t="s">
        <v>13</v>
      </c>
      <c r="C335" s="10" t="s">
        <v>737</v>
      </c>
      <c r="D335" s="10" t="s">
        <v>738</v>
      </c>
      <c r="E335" s="10" t="s">
        <v>739</v>
      </c>
      <c r="F335" s="10">
        <v>34.185584178299997</v>
      </c>
      <c r="G335" s="10">
        <v>45.120808439400001</v>
      </c>
      <c r="H335" s="11">
        <v>378</v>
      </c>
      <c r="I335" s="11">
        <v>2268</v>
      </c>
      <c r="J335" s="11"/>
      <c r="K335" s="11"/>
      <c r="L335" s="11"/>
      <c r="M335" s="11"/>
      <c r="N335" s="11"/>
      <c r="O335" s="11">
        <v>340</v>
      </c>
      <c r="P335" s="11"/>
      <c r="Q335" s="11"/>
      <c r="R335" s="11">
        <v>15</v>
      </c>
      <c r="S335" s="11"/>
      <c r="T335" s="11"/>
      <c r="U335" s="11"/>
      <c r="V335" s="11"/>
      <c r="W335" s="11"/>
      <c r="X335" s="11"/>
      <c r="Y335" s="11">
        <v>23</v>
      </c>
      <c r="Z335" s="11"/>
      <c r="AA335" s="11"/>
      <c r="AB335" s="11"/>
      <c r="AC335" s="11">
        <v>378</v>
      </c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>
        <v>378</v>
      </c>
      <c r="AO335" s="11"/>
      <c r="AP335" s="11"/>
      <c r="AQ335" s="11"/>
      <c r="AR335" s="11"/>
      <c r="AS335" s="11"/>
      <c r="AT335" s="20" t="str">
        <f>HYPERLINK("http://www.openstreetmap.org/?mlat=34.1856&amp;mlon=45.1208&amp;zoom=12#map=12/34.1856/45.1208","Maplink1")</f>
        <v>Maplink1</v>
      </c>
      <c r="AU335" s="20" t="str">
        <f>HYPERLINK("https://www.google.iq/maps/search/+34.1856,45.1208/@34.1856,45.1208,14z?hl=en","Maplink2")</f>
        <v>Maplink2</v>
      </c>
      <c r="AV335" s="20" t="str">
        <f>HYPERLINK("http://www.bing.com/maps/?lvl=14&amp;sty=h&amp;cp=34.1856~45.1208&amp;sp=point.34.1856_45.1208","Maplink3")</f>
        <v>Maplink3</v>
      </c>
    </row>
    <row r="336" spans="1:48" x14ac:dyDescent="0.25">
      <c r="A336" s="9">
        <v>11435</v>
      </c>
      <c r="B336" s="10" t="s">
        <v>13</v>
      </c>
      <c r="C336" s="10" t="s">
        <v>737</v>
      </c>
      <c r="D336" s="10" t="s">
        <v>740</v>
      </c>
      <c r="E336" s="10" t="s">
        <v>741</v>
      </c>
      <c r="F336" s="10">
        <v>34.161608339300003</v>
      </c>
      <c r="G336" s="10">
        <v>45.134660735499999</v>
      </c>
      <c r="H336" s="11">
        <v>174</v>
      </c>
      <c r="I336" s="11">
        <v>1044</v>
      </c>
      <c r="J336" s="11"/>
      <c r="K336" s="11"/>
      <c r="L336" s="11"/>
      <c r="M336" s="11"/>
      <c r="N336" s="11"/>
      <c r="O336" s="11">
        <v>140</v>
      </c>
      <c r="P336" s="11"/>
      <c r="Q336" s="11"/>
      <c r="R336" s="11">
        <v>20</v>
      </c>
      <c r="S336" s="11"/>
      <c r="T336" s="11"/>
      <c r="U336" s="11"/>
      <c r="V336" s="11"/>
      <c r="W336" s="11"/>
      <c r="X336" s="11"/>
      <c r="Y336" s="11">
        <v>14</v>
      </c>
      <c r="Z336" s="11"/>
      <c r="AA336" s="11"/>
      <c r="AB336" s="11"/>
      <c r="AC336" s="11">
        <v>30</v>
      </c>
      <c r="AD336" s="11">
        <v>100</v>
      </c>
      <c r="AE336" s="11"/>
      <c r="AF336" s="11"/>
      <c r="AG336" s="11"/>
      <c r="AH336" s="11"/>
      <c r="AI336" s="11">
        <v>14</v>
      </c>
      <c r="AJ336" s="11"/>
      <c r="AK336" s="11">
        <v>30</v>
      </c>
      <c r="AL336" s="11"/>
      <c r="AM336" s="11"/>
      <c r="AN336" s="11"/>
      <c r="AO336" s="11"/>
      <c r="AP336" s="11">
        <v>174</v>
      </c>
      <c r="AQ336" s="11"/>
      <c r="AR336" s="11"/>
      <c r="AS336" s="11"/>
      <c r="AT336" s="20" t="str">
        <f>HYPERLINK("http://www.openstreetmap.org/?mlat=34.1616&amp;mlon=45.1347&amp;zoom=12#map=12/34.1616/45.1347","Maplink1")</f>
        <v>Maplink1</v>
      </c>
      <c r="AU336" s="20" t="str">
        <f>HYPERLINK("https://www.google.iq/maps/search/+34.1616,45.1347/@34.1616,45.1347,14z?hl=en","Maplink2")</f>
        <v>Maplink2</v>
      </c>
      <c r="AV336" s="20" t="str">
        <f>HYPERLINK("http://www.bing.com/maps/?lvl=14&amp;sty=h&amp;cp=34.1616~45.1347&amp;sp=point.34.1616_45.1347","Maplink3")</f>
        <v>Maplink3</v>
      </c>
    </row>
    <row r="337" spans="1:48" x14ac:dyDescent="0.25">
      <c r="A337" s="9">
        <v>25702</v>
      </c>
      <c r="B337" s="10" t="s">
        <v>13</v>
      </c>
      <c r="C337" s="10" t="s">
        <v>737</v>
      </c>
      <c r="D337" s="10" t="s">
        <v>742</v>
      </c>
      <c r="E337" s="10" t="s">
        <v>743</v>
      </c>
      <c r="F337" s="10">
        <v>34.311106870800003</v>
      </c>
      <c r="G337" s="10">
        <v>45.162552345599998</v>
      </c>
      <c r="H337" s="11">
        <v>220</v>
      </c>
      <c r="I337" s="11">
        <v>1320</v>
      </c>
      <c r="J337" s="11"/>
      <c r="K337" s="11"/>
      <c r="L337" s="11"/>
      <c r="M337" s="11"/>
      <c r="N337" s="11"/>
      <c r="O337" s="11">
        <v>120</v>
      </c>
      <c r="P337" s="11"/>
      <c r="Q337" s="11"/>
      <c r="R337" s="11">
        <v>40</v>
      </c>
      <c r="S337" s="11"/>
      <c r="T337" s="11"/>
      <c r="U337" s="11"/>
      <c r="V337" s="11"/>
      <c r="W337" s="11"/>
      <c r="X337" s="11"/>
      <c r="Y337" s="11">
        <v>60</v>
      </c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>
        <v>220</v>
      </c>
      <c r="AL337" s="11"/>
      <c r="AM337" s="11"/>
      <c r="AN337" s="11"/>
      <c r="AO337" s="11"/>
      <c r="AP337" s="11">
        <v>220</v>
      </c>
      <c r="AQ337" s="11"/>
      <c r="AR337" s="11"/>
      <c r="AS337" s="11"/>
      <c r="AT337" s="20" t="str">
        <f>HYPERLINK("http://www.openstreetmap.org/?mlat=34.3111&amp;mlon=45.1626&amp;zoom=12#map=12/34.3111/45.1626","Maplink1")</f>
        <v>Maplink1</v>
      </c>
      <c r="AU337" s="20" t="str">
        <f>HYPERLINK("https://www.google.iq/maps/search/+34.3111,45.1626/@34.3111,45.1626,14z?hl=en","Maplink2")</f>
        <v>Maplink2</v>
      </c>
      <c r="AV337" s="20" t="str">
        <f>HYPERLINK("http://www.bing.com/maps/?lvl=14&amp;sty=h&amp;cp=34.3111~45.1626&amp;sp=point.34.3111_45.1626","Maplink3")</f>
        <v>Maplink3</v>
      </c>
    </row>
    <row r="338" spans="1:48" x14ac:dyDescent="0.25">
      <c r="A338" s="9">
        <v>26124</v>
      </c>
      <c r="B338" s="10" t="s">
        <v>13</v>
      </c>
      <c r="C338" s="10" t="s">
        <v>737</v>
      </c>
      <c r="D338" s="10" t="s">
        <v>744</v>
      </c>
      <c r="E338" s="10" t="s">
        <v>745</v>
      </c>
      <c r="F338" s="10">
        <v>34.188362410000003</v>
      </c>
      <c r="G338" s="10">
        <v>45.118962860000003</v>
      </c>
      <c r="H338" s="11">
        <v>308</v>
      </c>
      <c r="I338" s="11">
        <v>1848</v>
      </c>
      <c r="J338" s="11"/>
      <c r="K338" s="11"/>
      <c r="L338" s="11"/>
      <c r="M338" s="11"/>
      <c r="N338" s="11"/>
      <c r="O338" s="11">
        <v>280</v>
      </c>
      <c r="P338" s="11">
        <v>5</v>
      </c>
      <c r="Q338" s="11"/>
      <c r="R338" s="11">
        <v>11</v>
      </c>
      <c r="S338" s="11"/>
      <c r="T338" s="11"/>
      <c r="U338" s="11"/>
      <c r="V338" s="11"/>
      <c r="W338" s="11"/>
      <c r="X338" s="11"/>
      <c r="Y338" s="11">
        <v>12</v>
      </c>
      <c r="Z338" s="11"/>
      <c r="AA338" s="11"/>
      <c r="AB338" s="11"/>
      <c r="AC338" s="11">
        <v>180</v>
      </c>
      <c r="AD338" s="11">
        <v>61</v>
      </c>
      <c r="AE338" s="11"/>
      <c r="AF338" s="11"/>
      <c r="AG338" s="11"/>
      <c r="AH338" s="11"/>
      <c r="AI338" s="11"/>
      <c r="AJ338" s="11"/>
      <c r="AK338" s="11">
        <v>67</v>
      </c>
      <c r="AL338" s="11"/>
      <c r="AM338" s="11"/>
      <c r="AN338" s="11">
        <v>308</v>
      </c>
      <c r="AO338" s="11"/>
      <c r="AP338" s="11"/>
      <c r="AQ338" s="11"/>
      <c r="AR338" s="11"/>
      <c r="AS338" s="11"/>
      <c r="AT338" s="20" t="str">
        <f>HYPERLINK("http://www.openstreetmap.org/?mlat=34.1884&amp;mlon=45.119&amp;zoom=12#map=12/34.1884/45.119","Maplink1")</f>
        <v>Maplink1</v>
      </c>
      <c r="AU338" s="20" t="str">
        <f>HYPERLINK("https://www.google.iq/maps/search/+34.1884,45.119/@34.1884,45.119,14z?hl=en","Maplink2")</f>
        <v>Maplink2</v>
      </c>
      <c r="AV338" s="20" t="str">
        <f>HYPERLINK("http://www.bing.com/maps/?lvl=14&amp;sty=h&amp;cp=34.1884~45.119&amp;sp=point.34.1884_45.119","Maplink3")</f>
        <v>Maplink3</v>
      </c>
    </row>
    <row r="339" spans="1:48" x14ac:dyDescent="0.25">
      <c r="A339" s="9">
        <v>29569</v>
      </c>
      <c r="B339" s="10" t="s">
        <v>13</v>
      </c>
      <c r="C339" s="10" t="s">
        <v>737</v>
      </c>
      <c r="D339" s="10" t="s">
        <v>746</v>
      </c>
      <c r="E339" s="10" t="s">
        <v>747</v>
      </c>
      <c r="F339" s="10">
        <v>34.277075619999998</v>
      </c>
      <c r="G339" s="10">
        <v>45.166801810000003</v>
      </c>
      <c r="H339" s="11">
        <v>300</v>
      </c>
      <c r="I339" s="11">
        <v>1800</v>
      </c>
      <c r="J339" s="11"/>
      <c r="K339" s="11"/>
      <c r="L339" s="11"/>
      <c r="M339" s="11"/>
      <c r="N339" s="11"/>
      <c r="O339" s="11">
        <v>250</v>
      </c>
      <c r="P339" s="11">
        <v>5</v>
      </c>
      <c r="Q339" s="11"/>
      <c r="R339" s="11">
        <v>5</v>
      </c>
      <c r="S339" s="11"/>
      <c r="T339" s="11"/>
      <c r="U339" s="11"/>
      <c r="V339" s="11"/>
      <c r="W339" s="11"/>
      <c r="X339" s="11"/>
      <c r="Y339" s="11">
        <v>40</v>
      </c>
      <c r="Z339" s="11"/>
      <c r="AA339" s="11"/>
      <c r="AB339" s="11"/>
      <c r="AC339" s="11">
        <v>300</v>
      </c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>
        <v>130</v>
      </c>
      <c r="AO339" s="11">
        <v>170</v>
      </c>
      <c r="AP339" s="11"/>
      <c r="AQ339" s="11"/>
      <c r="AR339" s="11"/>
      <c r="AS339" s="11"/>
      <c r="AT339" s="20" t="str">
        <f>HYPERLINK("http://www.openstreetmap.org/?mlat=34.2771&amp;mlon=45.1668&amp;zoom=12#map=12/34.2771/45.1668","Maplink1")</f>
        <v>Maplink1</v>
      </c>
      <c r="AU339" s="20" t="str">
        <f>HYPERLINK("https://www.google.iq/maps/search/+34.2771,45.1668/@34.2771,45.1668,14z?hl=en","Maplink2")</f>
        <v>Maplink2</v>
      </c>
      <c r="AV339" s="20" t="str">
        <f>HYPERLINK("http://www.bing.com/maps/?lvl=14&amp;sty=h&amp;cp=34.2771~45.1668&amp;sp=point.34.2771_45.1668","Maplink3")</f>
        <v>Maplink3</v>
      </c>
    </row>
    <row r="340" spans="1:48" x14ac:dyDescent="0.25">
      <c r="A340" s="9">
        <v>31753</v>
      </c>
      <c r="B340" s="10" t="s">
        <v>13</v>
      </c>
      <c r="C340" s="10" t="s">
        <v>737</v>
      </c>
      <c r="D340" s="10" t="s">
        <v>748</v>
      </c>
      <c r="E340" s="10" t="s">
        <v>749</v>
      </c>
      <c r="F340" s="10">
        <v>34.273055999999997</v>
      </c>
      <c r="G340" s="10">
        <v>45.173333</v>
      </c>
      <c r="H340" s="11">
        <v>350</v>
      </c>
      <c r="I340" s="11">
        <v>2100</v>
      </c>
      <c r="J340" s="11"/>
      <c r="K340" s="11"/>
      <c r="L340" s="11">
        <v>9</v>
      </c>
      <c r="M340" s="11"/>
      <c r="N340" s="11"/>
      <c r="O340" s="11">
        <v>280</v>
      </c>
      <c r="P340" s="11">
        <v>3</v>
      </c>
      <c r="Q340" s="11"/>
      <c r="R340" s="11">
        <v>8</v>
      </c>
      <c r="S340" s="11"/>
      <c r="T340" s="11"/>
      <c r="U340" s="11"/>
      <c r="V340" s="11"/>
      <c r="W340" s="11"/>
      <c r="X340" s="11"/>
      <c r="Y340" s="11">
        <v>50</v>
      </c>
      <c r="Z340" s="11"/>
      <c r="AA340" s="11"/>
      <c r="AB340" s="11"/>
      <c r="AC340" s="11">
        <v>350</v>
      </c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>
        <v>150</v>
      </c>
      <c r="AO340" s="11">
        <v>200</v>
      </c>
      <c r="AP340" s="11"/>
      <c r="AQ340" s="11"/>
      <c r="AR340" s="11"/>
      <c r="AS340" s="11"/>
      <c r="AT340" s="20" t="str">
        <f>HYPERLINK("http://www.openstreetmap.org/?mlat=34.2731&amp;mlon=45.1733&amp;zoom=12#map=12/34.2731/45.1733","Maplink1")</f>
        <v>Maplink1</v>
      </c>
      <c r="AU340" s="20" t="str">
        <f>HYPERLINK("https://www.google.iq/maps/search/+34.2731,45.1733/@34.2731,45.1733,14z?hl=en","Maplink2")</f>
        <v>Maplink2</v>
      </c>
      <c r="AV340" s="20" t="str">
        <f>HYPERLINK("http://www.bing.com/maps/?lvl=14&amp;sty=h&amp;cp=34.2731~45.1733&amp;sp=point.34.2731_45.1733","Maplink3")</f>
        <v>Maplink3</v>
      </c>
    </row>
    <row r="341" spans="1:48" x14ac:dyDescent="0.25">
      <c r="A341" s="9">
        <v>31754</v>
      </c>
      <c r="B341" s="10" t="s">
        <v>13</v>
      </c>
      <c r="C341" s="10" t="s">
        <v>737</v>
      </c>
      <c r="D341" s="10" t="s">
        <v>750</v>
      </c>
      <c r="E341" s="10" t="s">
        <v>751</v>
      </c>
      <c r="F341" s="10">
        <v>34.269722000000002</v>
      </c>
      <c r="G341" s="10">
        <v>45.166111000000001</v>
      </c>
      <c r="H341" s="11">
        <v>350</v>
      </c>
      <c r="I341" s="11">
        <v>2100</v>
      </c>
      <c r="J341" s="11"/>
      <c r="K341" s="11"/>
      <c r="L341" s="11"/>
      <c r="M341" s="11"/>
      <c r="N341" s="11"/>
      <c r="O341" s="11">
        <v>300</v>
      </c>
      <c r="P341" s="11"/>
      <c r="Q341" s="11"/>
      <c r="R341" s="11"/>
      <c r="S341" s="11"/>
      <c r="T341" s="11"/>
      <c r="U341" s="11"/>
      <c r="V341" s="11"/>
      <c r="W341" s="11"/>
      <c r="X341" s="11"/>
      <c r="Y341" s="11">
        <v>50</v>
      </c>
      <c r="Z341" s="11"/>
      <c r="AA341" s="11"/>
      <c r="AB341" s="11"/>
      <c r="AC341" s="11">
        <v>350</v>
      </c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>
        <v>150</v>
      </c>
      <c r="AO341" s="11">
        <v>200</v>
      </c>
      <c r="AP341" s="11"/>
      <c r="AQ341" s="11"/>
      <c r="AR341" s="11"/>
      <c r="AS341" s="11"/>
      <c r="AT341" s="20" t="str">
        <f>HYPERLINK("http://www.openstreetmap.org/?mlat=34.2697&amp;mlon=45.1661&amp;zoom=12#map=12/34.2697/45.1661","Maplink1")</f>
        <v>Maplink1</v>
      </c>
      <c r="AU341" s="20" t="str">
        <f>HYPERLINK("https://www.google.iq/maps/search/+34.2697,45.1661/@34.2697,45.1661,14z?hl=en","Maplink2")</f>
        <v>Maplink2</v>
      </c>
      <c r="AV341" s="20" t="str">
        <f>HYPERLINK("http://www.bing.com/maps/?lvl=14&amp;sty=h&amp;cp=34.2697~45.1661&amp;sp=point.34.2697_45.1661","Maplink3")</f>
        <v>Maplink3</v>
      </c>
    </row>
    <row r="342" spans="1:48" x14ac:dyDescent="0.25">
      <c r="A342" s="9">
        <v>31755</v>
      </c>
      <c r="B342" s="10" t="s">
        <v>13</v>
      </c>
      <c r="C342" s="10" t="s">
        <v>737</v>
      </c>
      <c r="D342" s="10" t="s">
        <v>752</v>
      </c>
      <c r="E342" s="10" t="s">
        <v>753</v>
      </c>
      <c r="F342" s="10">
        <v>34.268611</v>
      </c>
      <c r="G342" s="10">
        <v>45.172221999999998</v>
      </c>
      <c r="H342" s="11">
        <v>370</v>
      </c>
      <c r="I342" s="11">
        <v>2220</v>
      </c>
      <c r="J342" s="11"/>
      <c r="K342" s="11"/>
      <c r="L342" s="11">
        <v>13</v>
      </c>
      <c r="M342" s="11"/>
      <c r="N342" s="11"/>
      <c r="O342" s="11">
        <v>290</v>
      </c>
      <c r="P342" s="11"/>
      <c r="Q342" s="11"/>
      <c r="R342" s="11">
        <v>10</v>
      </c>
      <c r="S342" s="11"/>
      <c r="T342" s="11"/>
      <c r="U342" s="11"/>
      <c r="V342" s="11"/>
      <c r="W342" s="11"/>
      <c r="X342" s="11"/>
      <c r="Y342" s="11">
        <v>57</v>
      </c>
      <c r="Z342" s="11"/>
      <c r="AA342" s="11"/>
      <c r="AB342" s="11"/>
      <c r="AC342" s="11">
        <v>370</v>
      </c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>
        <v>170</v>
      </c>
      <c r="AO342" s="11">
        <v>200</v>
      </c>
      <c r="AP342" s="11"/>
      <c r="AQ342" s="11"/>
      <c r="AR342" s="11"/>
      <c r="AS342" s="11"/>
      <c r="AT342" s="20" t="str">
        <f>HYPERLINK("http://www.openstreetmap.org/?mlat=34.2686&amp;mlon=45.1722&amp;zoom=12#map=12/34.2686/45.1722","Maplink1")</f>
        <v>Maplink1</v>
      </c>
      <c r="AU342" s="20" t="str">
        <f>HYPERLINK("https://www.google.iq/maps/search/+34.2686,45.1722/@34.2686,45.1722,14z?hl=en","Maplink2")</f>
        <v>Maplink2</v>
      </c>
      <c r="AV342" s="20" t="str">
        <f>HYPERLINK("http://www.bing.com/maps/?lvl=14&amp;sty=h&amp;cp=34.2686~45.1722&amp;sp=point.34.2686_45.1722","Maplink3")</f>
        <v>Maplink3</v>
      </c>
    </row>
    <row r="343" spans="1:48" x14ac:dyDescent="0.25">
      <c r="A343" s="9">
        <v>31756</v>
      </c>
      <c r="B343" s="10" t="s">
        <v>13</v>
      </c>
      <c r="C343" s="10" t="s">
        <v>737</v>
      </c>
      <c r="D343" s="10" t="s">
        <v>754</v>
      </c>
      <c r="E343" s="10" t="s">
        <v>755</v>
      </c>
      <c r="F343" s="10">
        <v>34.267778</v>
      </c>
      <c r="G343" s="10">
        <v>45.174166999999997</v>
      </c>
      <c r="H343" s="11">
        <v>350</v>
      </c>
      <c r="I343" s="11">
        <v>2100</v>
      </c>
      <c r="J343" s="11"/>
      <c r="K343" s="11"/>
      <c r="L343" s="11">
        <v>7</v>
      </c>
      <c r="M343" s="11"/>
      <c r="N343" s="11"/>
      <c r="O343" s="11">
        <v>300</v>
      </c>
      <c r="P343" s="11"/>
      <c r="Q343" s="11"/>
      <c r="R343" s="11">
        <v>8</v>
      </c>
      <c r="S343" s="11"/>
      <c r="T343" s="11"/>
      <c r="U343" s="11"/>
      <c r="V343" s="11"/>
      <c r="W343" s="11"/>
      <c r="X343" s="11"/>
      <c r="Y343" s="11">
        <v>35</v>
      </c>
      <c r="Z343" s="11"/>
      <c r="AA343" s="11"/>
      <c r="AB343" s="11"/>
      <c r="AC343" s="11">
        <v>350</v>
      </c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>
        <v>130</v>
      </c>
      <c r="AO343" s="11">
        <v>220</v>
      </c>
      <c r="AP343" s="11"/>
      <c r="AQ343" s="11"/>
      <c r="AR343" s="11"/>
      <c r="AS343" s="11"/>
      <c r="AT343" s="20" t="str">
        <f>HYPERLINK("http://www.openstreetmap.org/?mlat=34.2678&amp;mlon=45.1742&amp;zoom=12#map=12/34.2678/45.1742","Maplink1")</f>
        <v>Maplink1</v>
      </c>
      <c r="AU343" s="20" t="str">
        <f>HYPERLINK("https://www.google.iq/maps/search/+34.2678,45.1742/@34.2678,45.1742,14z?hl=en","Maplink2")</f>
        <v>Maplink2</v>
      </c>
      <c r="AV343" s="20" t="str">
        <f>HYPERLINK("http://www.bing.com/maps/?lvl=14&amp;sty=h&amp;cp=34.2678~45.1742&amp;sp=point.34.2678_45.1742","Maplink3")</f>
        <v>Maplink3</v>
      </c>
    </row>
    <row r="344" spans="1:48" x14ac:dyDescent="0.25">
      <c r="A344" s="9">
        <v>31757</v>
      </c>
      <c r="B344" s="10" t="s">
        <v>13</v>
      </c>
      <c r="C344" s="10" t="s">
        <v>737</v>
      </c>
      <c r="D344" s="10" t="s">
        <v>756</v>
      </c>
      <c r="E344" s="10" t="s">
        <v>757</v>
      </c>
      <c r="F344" s="10">
        <v>34.268332999999998</v>
      </c>
      <c r="G344" s="10">
        <v>45.168332999999997</v>
      </c>
      <c r="H344" s="11">
        <v>359</v>
      </c>
      <c r="I344" s="11">
        <v>2154</v>
      </c>
      <c r="J344" s="11"/>
      <c r="K344" s="11"/>
      <c r="L344" s="11">
        <v>10</v>
      </c>
      <c r="M344" s="11"/>
      <c r="N344" s="11"/>
      <c r="O344" s="11">
        <v>290</v>
      </c>
      <c r="P344" s="11"/>
      <c r="Q344" s="11"/>
      <c r="R344" s="11"/>
      <c r="S344" s="11"/>
      <c r="T344" s="11"/>
      <c r="U344" s="11"/>
      <c r="V344" s="11"/>
      <c r="W344" s="11"/>
      <c r="X344" s="11"/>
      <c r="Y344" s="11">
        <v>59</v>
      </c>
      <c r="Z344" s="11"/>
      <c r="AA344" s="11"/>
      <c r="AB344" s="11"/>
      <c r="AC344" s="11">
        <v>359</v>
      </c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>
        <v>149</v>
      </c>
      <c r="AO344" s="11">
        <v>210</v>
      </c>
      <c r="AP344" s="11"/>
      <c r="AQ344" s="11"/>
      <c r="AR344" s="11"/>
      <c r="AS344" s="11"/>
      <c r="AT344" s="20" t="str">
        <f>HYPERLINK("http://www.openstreetmap.org/?mlat=34.2683&amp;mlon=45.1683&amp;zoom=12#map=12/34.2683/45.1683","Maplink1")</f>
        <v>Maplink1</v>
      </c>
      <c r="AU344" s="20" t="str">
        <f>HYPERLINK("https://www.google.iq/maps/search/+34.2683,45.1683/@34.2683,45.1683,14z?hl=en","Maplink2")</f>
        <v>Maplink2</v>
      </c>
      <c r="AV344" s="20" t="str">
        <f>HYPERLINK("http://www.bing.com/maps/?lvl=14&amp;sty=h&amp;cp=34.2683~45.1683&amp;sp=point.34.2683_45.1683","Maplink3")</f>
        <v>Maplink3</v>
      </c>
    </row>
    <row r="345" spans="1:48" x14ac:dyDescent="0.25">
      <c r="A345" s="9">
        <v>31768</v>
      </c>
      <c r="B345" s="10" t="s">
        <v>13</v>
      </c>
      <c r="C345" s="10" t="s">
        <v>737</v>
      </c>
      <c r="D345" s="10" t="s">
        <v>758</v>
      </c>
      <c r="E345" s="10" t="s">
        <v>759</v>
      </c>
      <c r="F345" s="10">
        <v>34.228810000000003</v>
      </c>
      <c r="G345" s="10">
        <v>45.231216000000003</v>
      </c>
      <c r="H345" s="11">
        <v>31</v>
      </c>
      <c r="I345" s="11">
        <v>186</v>
      </c>
      <c r="J345" s="11"/>
      <c r="K345" s="11"/>
      <c r="L345" s="11"/>
      <c r="M345" s="11"/>
      <c r="N345" s="11"/>
      <c r="O345" s="11">
        <v>31</v>
      </c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>
        <v>31</v>
      </c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>
        <v>31</v>
      </c>
      <c r="AP345" s="11"/>
      <c r="AQ345" s="11"/>
      <c r="AR345" s="11"/>
      <c r="AS345" s="11"/>
      <c r="AT345" s="20" t="str">
        <f>HYPERLINK("http://www.openstreetmap.org/?mlat=34.2288&amp;mlon=45.2312&amp;zoom=12#map=12/34.2288/45.2312","Maplink1")</f>
        <v>Maplink1</v>
      </c>
      <c r="AU345" s="20" t="str">
        <f>HYPERLINK("https://www.google.iq/maps/search/+34.2288,45.2312/@34.2288,45.2312,14z?hl=en","Maplink2")</f>
        <v>Maplink2</v>
      </c>
      <c r="AV345" s="20" t="str">
        <f>HYPERLINK("http://www.bing.com/maps/?lvl=14&amp;sty=h&amp;cp=34.2288~45.2312&amp;sp=point.34.2288_45.2312","Maplink3")</f>
        <v>Maplink3</v>
      </c>
    </row>
    <row r="346" spans="1:48" x14ac:dyDescent="0.25">
      <c r="A346" s="9">
        <v>29477</v>
      </c>
      <c r="B346" s="10" t="s">
        <v>13</v>
      </c>
      <c r="C346" s="10" t="s">
        <v>737</v>
      </c>
      <c r="D346" s="10" t="s">
        <v>760</v>
      </c>
      <c r="E346" s="10" t="s">
        <v>684</v>
      </c>
      <c r="F346" s="10">
        <v>34.271358909999996</v>
      </c>
      <c r="G346" s="10">
        <v>45.164609429999999</v>
      </c>
      <c r="H346" s="11">
        <v>320</v>
      </c>
      <c r="I346" s="11">
        <v>1920</v>
      </c>
      <c r="J346" s="11"/>
      <c r="K346" s="11"/>
      <c r="L346" s="11"/>
      <c r="M346" s="11"/>
      <c r="N346" s="11"/>
      <c r="O346" s="11">
        <v>235</v>
      </c>
      <c r="P346" s="11">
        <v>5</v>
      </c>
      <c r="Q346" s="11"/>
      <c r="R346" s="11">
        <v>15</v>
      </c>
      <c r="S346" s="11"/>
      <c r="T346" s="11"/>
      <c r="U346" s="11"/>
      <c r="V346" s="11"/>
      <c r="W346" s="11"/>
      <c r="X346" s="11"/>
      <c r="Y346" s="11">
        <v>65</v>
      </c>
      <c r="Z346" s="11"/>
      <c r="AA346" s="11"/>
      <c r="AB346" s="11"/>
      <c r="AC346" s="11">
        <v>320</v>
      </c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>
        <v>120</v>
      </c>
      <c r="AO346" s="11">
        <v>200</v>
      </c>
      <c r="AP346" s="11"/>
      <c r="AQ346" s="11"/>
      <c r="AR346" s="11"/>
      <c r="AS346" s="11"/>
      <c r="AT346" s="20" t="str">
        <f>HYPERLINK("http://www.openstreetmap.org/?mlat=34.2714&amp;mlon=45.1646&amp;zoom=12#map=12/34.2714/45.1646","Maplink1")</f>
        <v>Maplink1</v>
      </c>
      <c r="AU346" s="20" t="str">
        <f>HYPERLINK("https://www.google.iq/maps/search/+34.2714,45.1646/@34.2714,45.1646,14z?hl=en","Maplink2")</f>
        <v>Maplink2</v>
      </c>
      <c r="AV346" s="20" t="str">
        <f>HYPERLINK("http://www.bing.com/maps/?lvl=14&amp;sty=h&amp;cp=34.2714~45.1646&amp;sp=point.34.2714_45.1646","Maplink3")</f>
        <v>Maplink3</v>
      </c>
    </row>
    <row r="347" spans="1:48" x14ac:dyDescent="0.25">
      <c r="A347" s="9">
        <v>31748</v>
      </c>
      <c r="B347" s="10" t="s">
        <v>13</v>
      </c>
      <c r="C347" s="10" t="s">
        <v>737</v>
      </c>
      <c r="D347" s="10" t="s">
        <v>761</v>
      </c>
      <c r="E347" s="10" t="s">
        <v>762</v>
      </c>
      <c r="F347" s="10">
        <v>34.277500000000003</v>
      </c>
      <c r="G347" s="10">
        <v>45.166111000000001</v>
      </c>
      <c r="H347" s="11">
        <v>450</v>
      </c>
      <c r="I347" s="11">
        <v>2700</v>
      </c>
      <c r="J347" s="11"/>
      <c r="K347" s="11"/>
      <c r="L347" s="11">
        <v>20</v>
      </c>
      <c r="M347" s="11"/>
      <c r="N347" s="11"/>
      <c r="O347" s="11">
        <v>310</v>
      </c>
      <c r="P347" s="11"/>
      <c r="Q347" s="11"/>
      <c r="R347" s="11">
        <v>15</v>
      </c>
      <c r="S347" s="11"/>
      <c r="T347" s="11"/>
      <c r="U347" s="11"/>
      <c r="V347" s="11"/>
      <c r="W347" s="11"/>
      <c r="X347" s="11"/>
      <c r="Y347" s="11">
        <v>105</v>
      </c>
      <c r="Z347" s="11"/>
      <c r="AA347" s="11"/>
      <c r="AB347" s="11"/>
      <c r="AC347" s="11">
        <v>450</v>
      </c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>
        <v>200</v>
      </c>
      <c r="AO347" s="11">
        <v>250</v>
      </c>
      <c r="AP347" s="11"/>
      <c r="AQ347" s="11"/>
      <c r="AR347" s="11"/>
      <c r="AS347" s="11"/>
      <c r="AT347" s="20" t="str">
        <f>HYPERLINK("http://www.openstreetmap.org/?mlat=34.2775&amp;mlon=45.1661&amp;zoom=12#map=12/34.2775/45.1661","Maplink1")</f>
        <v>Maplink1</v>
      </c>
      <c r="AU347" s="20" t="str">
        <f>HYPERLINK("https://www.google.iq/maps/search/+34.2775,45.1661/@34.2775,45.1661,14z?hl=en","Maplink2")</f>
        <v>Maplink2</v>
      </c>
      <c r="AV347" s="20" t="str">
        <f>HYPERLINK("http://www.bing.com/maps/?lvl=14&amp;sty=h&amp;cp=34.2775~45.1661&amp;sp=point.34.2775_45.1661","Maplink3")</f>
        <v>Maplink3</v>
      </c>
    </row>
    <row r="348" spans="1:48" x14ac:dyDescent="0.25">
      <c r="A348" s="9">
        <v>31749</v>
      </c>
      <c r="B348" s="10" t="s">
        <v>13</v>
      </c>
      <c r="C348" s="10" t="s">
        <v>737</v>
      </c>
      <c r="D348" s="10" t="s">
        <v>763</v>
      </c>
      <c r="E348" s="10" t="s">
        <v>764</v>
      </c>
      <c r="F348" s="10">
        <v>34.277222000000002</v>
      </c>
      <c r="G348" s="10">
        <v>45.168332999999997</v>
      </c>
      <c r="H348" s="11">
        <v>300</v>
      </c>
      <c r="I348" s="11">
        <v>1800</v>
      </c>
      <c r="J348" s="11"/>
      <c r="K348" s="11"/>
      <c r="L348" s="11">
        <v>5</v>
      </c>
      <c r="M348" s="11"/>
      <c r="N348" s="11"/>
      <c r="O348" s="11">
        <v>235</v>
      </c>
      <c r="P348" s="11"/>
      <c r="Q348" s="11"/>
      <c r="R348" s="11">
        <v>10</v>
      </c>
      <c r="S348" s="11"/>
      <c r="T348" s="11"/>
      <c r="U348" s="11"/>
      <c r="V348" s="11"/>
      <c r="W348" s="11"/>
      <c r="X348" s="11"/>
      <c r="Y348" s="11">
        <v>50</v>
      </c>
      <c r="Z348" s="11"/>
      <c r="AA348" s="11"/>
      <c r="AB348" s="11"/>
      <c r="AC348" s="11">
        <v>300</v>
      </c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>
        <v>125</v>
      </c>
      <c r="AO348" s="11">
        <v>175</v>
      </c>
      <c r="AP348" s="11"/>
      <c r="AQ348" s="11"/>
      <c r="AR348" s="11"/>
      <c r="AS348" s="11"/>
      <c r="AT348" s="20" t="str">
        <f>HYPERLINK("http://www.openstreetmap.org/?mlat=34.2772&amp;mlon=45.1683&amp;zoom=12#map=12/34.2772/45.1683","Maplink1")</f>
        <v>Maplink1</v>
      </c>
      <c r="AU348" s="20" t="str">
        <f>HYPERLINK("https://www.google.iq/maps/search/+34.2772,45.1683/@34.2772,45.1683,14z?hl=en","Maplink2")</f>
        <v>Maplink2</v>
      </c>
      <c r="AV348" s="20" t="str">
        <f>HYPERLINK("http://www.bing.com/maps/?lvl=14&amp;sty=h&amp;cp=34.2772~45.1683&amp;sp=point.34.2772_45.1683","Maplink3")</f>
        <v>Maplink3</v>
      </c>
    </row>
    <row r="349" spans="1:48" x14ac:dyDescent="0.25">
      <c r="A349" s="9">
        <v>25983</v>
      </c>
      <c r="B349" s="10" t="s">
        <v>13</v>
      </c>
      <c r="C349" s="10" t="s">
        <v>737</v>
      </c>
      <c r="D349" s="10" t="s">
        <v>765</v>
      </c>
      <c r="E349" s="10" t="s">
        <v>766</v>
      </c>
      <c r="F349" s="10">
        <v>34.1925345728</v>
      </c>
      <c r="G349" s="10">
        <v>45.124869149200002</v>
      </c>
      <c r="H349" s="11">
        <v>208</v>
      </c>
      <c r="I349" s="11">
        <v>1248</v>
      </c>
      <c r="J349" s="11"/>
      <c r="K349" s="11"/>
      <c r="L349" s="11"/>
      <c r="M349" s="11"/>
      <c r="N349" s="11"/>
      <c r="O349" s="11">
        <v>200</v>
      </c>
      <c r="P349" s="11"/>
      <c r="Q349" s="11"/>
      <c r="R349" s="11">
        <v>8</v>
      </c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>
        <v>208</v>
      </c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>
        <v>208</v>
      </c>
      <c r="AO349" s="11"/>
      <c r="AP349" s="11"/>
      <c r="AQ349" s="11"/>
      <c r="AR349" s="11"/>
      <c r="AS349" s="11"/>
      <c r="AT349" s="20" t="str">
        <f>HYPERLINK("http://www.openstreetmap.org/?mlat=34.1925&amp;mlon=45.1249&amp;zoom=12#map=12/34.1925/45.1249","Maplink1")</f>
        <v>Maplink1</v>
      </c>
      <c r="AU349" s="20" t="str">
        <f>HYPERLINK("https://www.google.iq/maps/search/+34.1925,45.1249/@34.1925,45.1249,14z?hl=en","Maplink2")</f>
        <v>Maplink2</v>
      </c>
      <c r="AV349" s="20" t="str">
        <f>HYPERLINK("http://www.bing.com/maps/?lvl=14&amp;sty=h&amp;cp=34.1925~45.1249&amp;sp=point.34.1925_45.1249","Maplink3")</f>
        <v>Maplink3</v>
      </c>
    </row>
    <row r="350" spans="1:48" x14ac:dyDescent="0.25">
      <c r="A350" s="9">
        <v>29507</v>
      </c>
      <c r="B350" s="10" t="s">
        <v>13</v>
      </c>
      <c r="C350" s="10" t="s">
        <v>737</v>
      </c>
      <c r="D350" s="10" t="s">
        <v>767</v>
      </c>
      <c r="E350" s="10" t="s">
        <v>768</v>
      </c>
      <c r="F350" s="10">
        <v>34.199649999999998</v>
      </c>
      <c r="G350" s="10">
        <v>45.126589000000003</v>
      </c>
      <c r="H350" s="11">
        <v>215</v>
      </c>
      <c r="I350" s="11">
        <v>1290</v>
      </c>
      <c r="J350" s="11"/>
      <c r="K350" s="11"/>
      <c r="L350" s="11"/>
      <c r="M350" s="11"/>
      <c r="N350" s="11"/>
      <c r="O350" s="11">
        <v>180</v>
      </c>
      <c r="P350" s="11"/>
      <c r="Q350" s="11"/>
      <c r="R350" s="11">
        <v>10</v>
      </c>
      <c r="S350" s="11"/>
      <c r="T350" s="11"/>
      <c r="U350" s="11"/>
      <c r="V350" s="11"/>
      <c r="W350" s="11"/>
      <c r="X350" s="11"/>
      <c r="Y350" s="11">
        <v>25</v>
      </c>
      <c r="Z350" s="11"/>
      <c r="AA350" s="11"/>
      <c r="AB350" s="11"/>
      <c r="AC350" s="11">
        <v>215</v>
      </c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>
        <v>215</v>
      </c>
      <c r="AO350" s="11"/>
      <c r="AP350" s="11"/>
      <c r="AQ350" s="11"/>
      <c r="AR350" s="11"/>
      <c r="AS350" s="11"/>
      <c r="AT350" s="20" t="str">
        <f>HYPERLINK("http://www.openstreetmap.org/?mlat=34.1996&amp;mlon=45.1266&amp;zoom=12#map=12/34.1996/45.1266","Maplink1")</f>
        <v>Maplink1</v>
      </c>
      <c r="AU350" s="20" t="str">
        <f>HYPERLINK("https://www.google.iq/maps/search/+34.1996,45.1266/@34.1996,45.1266,14z?hl=en","Maplink2")</f>
        <v>Maplink2</v>
      </c>
      <c r="AV350" s="20" t="str">
        <f>HYPERLINK("http://www.bing.com/maps/?lvl=14&amp;sty=h&amp;cp=34.1996~45.1266&amp;sp=point.34.1996_45.1266","Maplink3")</f>
        <v>Maplink3</v>
      </c>
    </row>
    <row r="351" spans="1:48" x14ac:dyDescent="0.25">
      <c r="A351" s="9">
        <v>29506</v>
      </c>
      <c r="B351" s="10" t="s">
        <v>13</v>
      </c>
      <c r="C351" s="10" t="s">
        <v>737</v>
      </c>
      <c r="D351" s="10" t="s">
        <v>769</v>
      </c>
      <c r="E351" s="10" t="s">
        <v>770</v>
      </c>
      <c r="F351" s="10">
        <v>34.197619000000003</v>
      </c>
      <c r="G351" s="10">
        <v>45.126843999999998</v>
      </c>
      <c r="H351" s="11">
        <v>200</v>
      </c>
      <c r="I351" s="11">
        <v>1200</v>
      </c>
      <c r="J351" s="11"/>
      <c r="K351" s="11"/>
      <c r="L351" s="11"/>
      <c r="M351" s="11"/>
      <c r="N351" s="11"/>
      <c r="O351" s="11">
        <v>190</v>
      </c>
      <c r="P351" s="11"/>
      <c r="Q351" s="11"/>
      <c r="R351" s="11">
        <v>10</v>
      </c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>
        <v>200</v>
      </c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>
        <v>200</v>
      </c>
      <c r="AO351" s="11"/>
      <c r="AP351" s="11"/>
      <c r="AQ351" s="11"/>
      <c r="AR351" s="11"/>
      <c r="AS351" s="11"/>
      <c r="AT351" s="20" t="str">
        <f>HYPERLINK("http://www.openstreetmap.org/?mlat=34.1976&amp;mlon=45.1268&amp;zoom=12#map=12/34.1976/45.1268","Maplink1")</f>
        <v>Maplink1</v>
      </c>
      <c r="AU351" s="20" t="str">
        <f>HYPERLINK("https://www.google.iq/maps/search/+34.1976,45.1268/@34.1976,45.1268,14z?hl=en","Maplink2")</f>
        <v>Maplink2</v>
      </c>
      <c r="AV351" s="20" t="str">
        <f>HYPERLINK("http://www.bing.com/maps/?lvl=14&amp;sty=h&amp;cp=34.1976~45.1268&amp;sp=point.34.1976_45.1268","Maplink3")</f>
        <v>Maplink3</v>
      </c>
    </row>
    <row r="352" spans="1:48" x14ac:dyDescent="0.25">
      <c r="A352" s="9">
        <v>29521</v>
      </c>
      <c r="B352" s="10" t="s">
        <v>13</v>
      </c>
      <c r="C352" s="10" t="s">
        <v>737</v>
      </c>
      <c r="D352" s="10" t="s">
        <v>771</v>
      </c>
      <c r="E352" s="10" t="s">
        <v>772</v>
      </c>
      <c r="F352" s="10">
        <v>34.177523829999998</v>
      </c>
      <c r="G352" s="10">
        <v>45.121278340000003</v>
      </c>
      <c r="H352" s="11">
        <v>190</v>
      </c>
      <c r="I352" s="11">
        <v>1140</v>
      </c>
      <c r="J352" s="11"/>
      <c r="K352" s="11"/>
      <c r="L352" s="11"/>
      <c r="M352" s="11"/>
      <c r="N352" s="11"/>
      <c r="O352" s="11">
        <v>150</v>
      </c>
      <c r="P352" s="11">
        <v>15</v>
      </c>
      <c r="Q352" s="11"/>
      <c r="R352" s="11">
        <v>20</v>
      </c>
      <c r="S352" s="11"/>
      <c r="T352" s="11"/>
      <c r="U352" s="11"/>
      <c r="V352" s="11"/>
      <c r="W352" s="11"/>
      <c r="X352" s="11"/>
      <c r="Y352" s="11">
        <v>5</v>
      </c>
      <c r="Z352" s="11"/>
      <c r="AA352" s="11"/>
      <c r="AB352" s="11"/>
      <c r="AC352" s="11">
        <v>190</v>
      </c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>
        <v>190</v>
      </c>
      <c r="AO352" s="11"/>
      <c r="AP352" s="11"/>
      <c r="AQ352" s="11"/>
      <c r="AR352" s="11"/>
      <c r="AS352" s="11"/>
      <c r="AT352" s="20" t="str">
        <f>HYPERLINK("http://www.openstreetmap.org/?mlat=34.1775&amp;mlon=45.1213&amp;zoom=12#map=12/34.1775/45.1213","Maplink1")</f>
        <v>Maplink1</v>
      </c>
      <c r="AU352" s="20" t="str">
        <f>HYPERLINK("https://www.google.iq/maps/search/+34.1775,45.1213/@34.1775,45.1213,14z?hl=en","Maplink2")</f>
        <v>Maplink2</v>
      </c>
      <c r="AV352" s="20" t="str">
        <f>HYPERLINK("http://www.bing.com/maps/?lvl=14&amp;sty=h&amp;cp=34.1775~45.1213&amp;sp=point.34.1775_45.1213","Maplink3")</f>
        <v>Maplink3</v>
      </c>
    </row>
    <row r="353" spans="1:48" x14ac:dyDescent="0.25">
      <c r="A353" s="9">
        <v>27391</v>
      </c>
      <c r="B353" s="10" t="s">
        <v>13</v>
      </c>
      <c r="C353" s="10" t="s">
        <v>737</v>
      </c>
      <c r="D353" s="10" t="s">
        <v>773</v>
      </c>
      <c r="E353" s="10" t="s">
        <v>774</v>
      </c>
      <c r="F353" s="10">
        <v>34.182388590000002</v>
      </c>
      <c r="G353" s="10">
        <v>45.118946000000001</v>
      </c>
      <c r="H353" s="11">
        <v>383</v>
      </c>
      <c r="I353" s="11">
        <v>2298</v>
      </c>
      <c r="J353" s="11"/>
      <c r="K353" s="11"/>
      <c r="L353" s="11"/>
      <c r="M353" s="11"/>
      <c r="N353" s="11"/>
      <c r="O353" s="11">
        <v>316</v>
      </c>
      <c r="P353" s="11"/>
      <c r="Q353" s="11"/>
      <c r="R353" s="11">
        <v>7</v>
      </c>
      <c r="S353" s="11"/>
      <c r="T353" s="11"/>
      <c r="U353" s="11"/>
      <c r="V353" s="11"/>
      <c r="W353" s="11"/>
      <c r="X353" s="11"/>
      <c r="Y353" s="11">
        <v>60</v>
      </c>
      <c r="Z353" s="11"/>
      <c r="AA353" s="11"/>
      <c r="AB353" s="11"/>
      <c r="AC353" s="11">
        <v>377</v>
      </c>
      <c r="AD353" s="11"/>
      <c r="AE353" s="11"/>
      <c r="AF353" s="11"/>
      <c r="AG353" s="11"/>
      <c r="AH353" s="11"/>
      <c r="AI353" s="11">
        <v>6</v>
      </c>
      <c r="AJ353" s="11"/>
      <c r="AK353" s="11"/>
      <c r="AL353" s="11"/>
      <c r="AM353" s="11"/>
      <c r="AN353" s="11">
        <v>383</v>
      </c>
      <c r="AO353" s="11"/>
      <c r="AP353" s="11"/>
      <c r="AQ353" s="11"/>
      <c r="AR353" s="11"/>
      <c r="AS353" s="11"/>
      <c r="AT353" s="20" t="str">
        <f>HYPERLINK("http://www.openstreetmap.org/?mlat=34.1824&amp;mlon=45.1189&amp;zoom=12#map=12/34.1824/45.1189","Maplink1")</f>
        <v>Maplink1</v>
      </c>
      <c r="AU353" s="20" t="str">
        <f>HYPERLINK("https://www.google.iq/maps/search/+34.1824,45.1189/@34.1824,45.1189,14z?hl=en","Maplink2")</f>
        <v>Maplink2</v>
      </c>
      <c r="AV353" s="20" t="str">
        <f>HYPERLINK("http://www.bing.com/maps/?lvl=14&amp;sty=h&amp;cp=34.1824~45.1189&amp;sp=point.34.1824_45.1189","Maplink3")</f>
        <v>Maplink3</v>
      </c>
    </row>
    <row r="354" spans="1:48" x14ac:dyDescent="0.25">
      <c r="A354" s="9">
        <v>29570</v>
      </c>
      <c r="B354" s="10" t="s">
        <v>13</v>
      </c>
      <c r="C354" s="10" t="s">
        <v>737</v>
      </c>
      <c r="D354" s="10" t="s">
        <v>775</v>
      </c>
      <c r="E354" s="10" t="s">
        <v>182</v>
      </c>
      <c r="F354" s="10">
        <v>34.279488600000001</v>
      </c>
      <c r="G354" s="10">
        <v>45.167935139999997</v>
      </c>
      <c r="H354" s="11">
        <v>430</v>
      </c>
      <c r="I354" s="11">
        <v>2580</v>
      </c>
      <c r="J354" s="11"/>
      <c r="K354" s="11"/>
      <c r="L354" s="11">
        <v>7</v>
      </c>
      <c r="M354" s="11"/>
      <c r="N354" s="11"/>
      <c r="O354" s="11">
        <v>340</v>
      </c>
      <c r="P354" s="11">
        <v>5</v>
      </c>
      <c r="Q354" s="11"/>
      <c r="R354" s="11">
        <v>13</v>
      </c>
      <c r="S354" s="11"/>
      <c r="T354" s="11"/>
      <c r="U354" s="11"/>
      <c r="V354" s="11"/>
      <c r="W354" s="11"/>
      <c r="X354" s="11"/>
      <c r="Y354" s="11">
        <v>65</v>
      </c>
      <c r="Z354" s="11"/>
      <c r="AA354" s="11"/>
      <c r="AB354" s="11"/>
      <c r="AC354" s="11">
        <v>430</v>
      </c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>
        <v>230</v>
      </c>
      <c r="AO354" s="11">
        <v>200</v>
      </c>
      <c r="AP354" s="11"/>
      <c r="AQ354" s="11"/>
      <c r="AR354" s="11"/>
      <c r="AS354" s="11"/>
      <c r="AT354" s="20" t="str">
        <f>HYPERLINK("http://www.openstreetmap.org/?mlat=34.2795&amp;mlon=45.1679&amp;zoom=12#map=12/34.2795/45.1679","Maplink1")</f>
        <v>Maplink1</v>
      </c>
      <c r="AU354" s="20" t="str">
        <f>HYPERLINK("https://www.google.iq/maps/search/+34.2795,45.1679/@34.2795,45.1679,14z?hl=en","Maplink2")</f>
        <v>Maplink2</v>
      </c>
      <c r="AV354" s="20" t="str">
        <f>HYPERLINK("http://www.bing.com/maps/?lvl=14&amp;sty=h&amp;cp=34.2795~45.1679&amp;sp=point.34.2795_45.1679","Maplink3")</f>
        <v>Maplink3</v>
      </c>
    </row>
    <row r="355" spans="1:48" x14ac:dyDescent="0.25">
      <c r="A355" s="9">
        <v>31758</v>
      </c>
      <c r="B355" s="10" t="s">
        <v>13</v>
      </c>
      <c r="C355" s="10" t="s">
        <v>737</v>
      </c>
      <c r="D355" s="10" t="s">
        <v>776</v>
      </c>
      <c r="E355" s="10" t="s">
        <v>777</v>
      </c>
      <c r="F355" s="10">
        <v>34.278610999999998</v>
      </c>
      <c r="G355" s="10">
        <v>45.176389</v>
      </c>
      <c r="H355" s="11">
        <v>350</v>
      </c>
      <c r="I355" s="11">
        <v>2100</v>
      </c>
      <c r="J355" s="11"/>
      <c r="K355" s="11"/>
      <c r="L355" s="11"/>
      <c r="M355" s="11"/>
      <c r="N355" s="11"/>
      <c r="O355" s="11">
        <v>298</v>
      </c>
      <c r="P355" s="11"/>
      <c r="Q355" s="11"/>
      <c r="R355" s="11"/>
      <c r="S355" s="11"/>
      <c r="T355" s="11"/>
      <c r="U355" s="11"/>
      <c r="V355" s="11"/>
      <c r="W355" s="11"/>
      <c r="X355" s="11"/>
      <c r="Y355" s="11">
        <v>52</v>
      </c>
      <c r="Z355" s="11"/>
      <c r="AA355" s="11"/>
      <c r="AB355" s="11"/>
      <c r="AC355" s="11">
        <v>350</v>
      </c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>
        <v>225</v>
      </c>
      <c r="AO355" s="11">
        <v>125</v>
      </c>
      <c r="AP355" s="11"/>
      <c r="AQ355" s="11"/>
      <c r="AR355" s="11"/>
      <c r="AS355" s="11"/>
      <c r="AT355" s="20" t="str">
        <f>HYPERLINK("http://www.openstreetmap.org/?mlat=34.2786&amp;mlon=45.1764&amp;zoom=12#map=12/34.2786/45.1764","Maplink1")</f>
        <v>Maplink1</v>
      </c>
      <c r="AU355" s="20" t="str">
        <f>HYPERLINK("https://www.google.iq/maps/search/+34.2786,45.1764/@34.2786,45.1764,14z?hl=en","Maplink2")</f>
        <v>Maplink2</v>
      </c>
      <c r="AV355" s="20" t="str">
        <f>HYPERLINK("http://www.bing.com/maps/?lvl=14&amp;sty=h&amp;cp=34.2786~45.1764&amp;sp=point.34.2786_45.1764","Maplink3")</f>
        <v>Maplink3</v>
      </c>
    </row>
    <row r="356" spans="1:48" x14ac:dyDescent="0.25">
      <c r="A356" s="9">
        <v>31759</v>
      </c>
      <c r="B356" s="10" t="s">
        <v>13</v>
      </c>
      <c r="C356" s="10" t="s">
        <v>737</v>
      </c>
      <c r="D356" s="10" t="s">
        <v>778</v>
      </c>
      <c r="E356" s="10" t="s">
        <v>779</v>
      </c>
      <c r="F356" s="10">
        <v>34.284166999999997</v>
      </c>
      <c r="G356" s="10">
        <v>45.171666999999999</v>
      </c>
      <c r="H356" s="11">
        <v>360</v>
      </c>
      <c r="I356" s="11">
        <v>2160</v>
      </c>
      <c r="J356" s="11"/>
      <c r="K356" s="11"/>
      <c r="L356" s="11">
        <v>9</v>
      </c>
      <c r="M356" s="11"/>
      <c r="N356" s="11"/>
      <c r="O356" s="11">
        <v>298</v>
      </c>
      <c r="P356" s="11"/>
      <c r="Q356" s="11"/>
      <c r="R356" s="11">
        <v>5</v>
      </c>
      <c r="S356" s="11"/>
      <c r="T356" s="11"/>
      <c r="U356" s="11"/>
      <c r="V356" s="11"/>
      <c r="W356" s="11"/>
      <c r="X356" s="11"/>
      <c r="Y356" s="11">
        <v>48</v>
      </c>
      <c r="Z356" s="11"/>
      <c r="AA356" s="11"/>
      <c r="AB356" s="11"/>
      <c r="AC356" s="11">
        <v>350</v>
      </c>
      <c r="AD356" s="11"/>
      <c r="AE356" s="11"/>
      <c r="AF356" s="11"/>
      <c r="AG356" s="11"/>
      <c r="AH356" s="11"/>
      <c r="AI356" s="11">
        <v>10</v>
      </c>
      <c r="AJ356" s="11"/>
      <c r="AK356" s="11"/>
      <c r="AL356" s="11"/>
      <c r="AM356" s="11"/>
      <c r="AN356" s="11">
        <v>160</v>
      </c>
      <c r="AO356" s="11">
        <v>200</v>
      </c>
      <c r="AP356" s="11"/>
      <c r="AQ356" s="11"/>
      <c r="AR356" s="11"/>
      <c r="AS356" s="11"/>
      <c r="AT356" s="20" t="str">
        <f>HYPERLINK("http://www.openstreetmap.org/?mlat=34.2842&amp;mlon=45.1717&amp;zoom=12#map=12/34.2842/45.1717","Maplink1")</f>
        <v>Maplink1</v>
      </c>
      <c r="AU356" s="20" t="str">
        <f>HYPERLINK("https://www.google.iq/maps/search/+34.2842,45.1717/@34.2842,45.1717,14z?hl=en","Maplink2")</f>
        <v>Maplink2</v>
      </c>
      <c r="AV356" s="20" t="str">
        <f>HYPERLINK("http://www.bing.com/maps/?lvl=14&amp;sty=h&amp;cp=34.2842~45.1717&amp;sp=point.34.2842_45.1717","Maplink3")</f>
        <v>Maplink3</v>
      </c>
    </row>
    <row r="357" spans="1:48" x14ac:dyDescent="0.25">
      <c r="A357" s="9">
        <v>31760</v>
      </c>
      <c r="B357" s="10" t="s">
        <v>13</v>
      </c>
      <c r="C357" s="10" t="s">
        <v>737</v>
      </c>
      <c r="D357" s="10" t="s">
        <v>780</v>
      </c>
      <c r="E357" s="10" t="s">
        <v>781</v>
      </c>
      <c r="F357" s="10">
        <v>34.276111</v>
      </c>
      <c r="G357" s="10">
        <v>45.177222</v>
      </c>
      <c r="H357" s="11">
        <v>600</v>
      </c>
      <c r="I357" s="11">
        <v>3600</v>
      </c>
      <c r="J357" s="11"/>
      <c r="K357" s="11"/>
      <c r="L357" s="11">
        <v>10</v>
      </c>
      <c r="M357" s="11"/>
      <c r="N357" s="11"/>
      <c r="O357" s="11">
        <v>485</v>
      </c>
      <c r="P357" s="11"/>
      <c r="Q357" s="11"/>
      <c r="R357" s="11">
        <v>15</v>
      </c>
      <c r="S357" s="11"/>
      <c r="T357" s="11"/>
      <c r="U357" s="11"/>
      <c r="V357" s="11"/>
      <c r="W357" s="11"/>
      <c r="X357" s="11"/>
      <c r="Y357" s="11">
        <v>90</v>
      </c>
      <c r="Z357" s="11"/>
      <c r="AA357" s="11"/>
      <c r="AB357" s="11"/>
      <c r="AC357" s="11">
        <v>600</v>
      </c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>
        <v>240</v>
      </c>
      <c r="AO357" s="11">
        <v>360</v>
      </c>
      <c r="AP357" s="11"/>
      <c r="AQ357" s="11"/>
      <c r="AR357" s="11"/>
      <c r="AS357" s="11"/>
      <c r="AT357" s="20" t="str">
        <f>HYPERLINK("http://www.openstreetmap.org/?mlat=34.2761&amp;mlon=45.1772&amp;zoom=12#map=12/34.2761/45.1772","Maplink1")</f>
        <v>Maplink1</v>
      </c>
      <c r="AU357" s="20" t="str">
        <f>HYPERLINK("https://www.google.iq/maps/search/+34.2761,45.1772/@34.2761,45.1772,14z?hl=en","Maplink2")</f>
        <v>Maplink2</v>
      </c>
      <c r="AV357" s="20" t="str">
        <f>HYPERLINK("http://www.bing.com/maps/?lvl=14&amp;sty=h&amp;cp=34.2761~45.1772&amp;sp=point.34.2761_45.1772","Maplink3")</f>
        <v>Maplink3</v>
      </c>
    </row>
    <row r="358" spans="1:48" x14ac:dyDescent="0.25">
      <c r="A358" s="9">
        <v>31761</v>
      </c>
      <c r="B358" s="10" t="s">
        <v>13</v>
      </c>
      <c r="C358" s="10" t="s">
        <v>737</v>
      </c>
      <c r="D358" s="10" t="s">
        <v>782</v>
      </c>
      <c r="E358" s="10" t="s">
        <v>783</v>
      </c>
      <c r="F358" s="10">
        <v>34.274999999999999</v>
      </c>
      <c r="G358" s="10">
        <v>45.171111000000003</v>
      </c>
      <c r="H358" s="11">
        <v>400</v>
      </c>
      <c r="I358" s="11">
        <v>2400</v>
      </c>
      <c r="J358" s="11"/>
      <c r="K358" s="11"/>
      <c r="L358" s="11"/>
      <c r="M358" s="11"/>
      <c r="N358" s="11"/>
      <c r="O358" s="11">
        <v>350</v>
      </c>
      <c r="P358" s="11"/>
      <c r="Q358" s="11"/>
      <c r="R358" s="11"/>
      <c r="S358" s="11"/>
      <c r="T358" s="11"/>
      <c r="U358" s="11"/>
      <c r="V358" s="11"/>
      <c r="W358" s="11"/>
      <c r="X358" s="11"/>
      <c r="Y358" s="11">
        <v>50</v>
      </c>
      <c r="Z358" s="11"/>
      <c r="AA358" s="11"/>
      <c r="AB358" s="11"/>
      <c r="AC358" s="11">
        <v>400</v>
      </c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>
        <v>175</v>
      </c>
      <c r="AO358" s="11">
        <v>225</v>
      </c>
      <c r="AP358" s="11"/>
      <c r="AQ358" s="11"/>
      <c r="AR358" s="11"/>
      <c r="AS358" s="11"/>
      <c r="AT358" s="20" t="str">
        <f>HYPERLINK("http://www.openstreetmap.org/?mlat=34.275&amp;mlon=45.1711&amp;zoom=12#map=12/34.275/45.1711","Maplink1")</f>
        <v>Maplink1</v>
      </c>
      <c r="AU358" s="20" t="str">
        <f>HYPERLINK("https://www.google.iq/maps/search/+34.275,45.1711/@34.275,45.1711,14z?hl=en","Maplink2")</f>
        <v>Maplink2</v>
      </c>
      <c r="AV358" s="20" t="str">
        <f>HYPERLINK("http://www.bing.com/maps/?lvl=14&amp;sty=h&amp;cp=34.275~45.1711&amp;sp=point.34.275_45.1711","Maplink3")</f>
        <v>Maplink3</v>
      </c>
    </row>
    <row r="359" spans="1:48" x14ac:dyDescent="0.25">
      <c r="A359" s="9">
        <v>31762</v>
      </c>
      <c r="B359" s="10" t="s">
        <v>13</v>
      </c>
      <c r="C359" s="10" t="s">
        <v>737</v>
      </c>
      <c r="D359" s="10" t="s">
        <v>784</v>
      </c>
      <c r="E359" s="10" t="s">
        <v>785</v>
      </c>
      <c r="F359" s="10">
        <v>34.276111</v>
      </c>
      <c r="G359" s="10">
        <v>45.179443999999997</v>
      </c>
      <c r="H359" s="11">
        <v>333</v>
      </c>
      <c r="I359" s="11">
        <v>1998</v>
      </c>
      <c r="J359" s="11"/>
      <c r="K359" s="11"/>
      <c r="L359" s="11"/>
      <c r="M359" s="11"/>
      <c r="N359" s="11"/>
      <c r="O359" s="11">
        <v>263</v>
      </c>
      <c r="P359" s="11"/>
      <c r="Q359" s="11"/>
      <c r="R359" s="11"/>
      <c r="S359" s="11"/>
      <c r="T359" s="11"/>
      <c r="U359" s="11"/>
      <c r="V359" s="11"/>
      <c r="W359" s="11"/>
      <c r="X359" s="11"/>
      <c r="Y359" s="11">
        <v>70</v>
      </c>
      <c r="Z359" s="11"/>
      <c r="AA359" s="11"/>
      <c r="AB359" s="11"/>
      <c r="AC359" s="11">
        <v>333</v>
      </c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>
        <v>120</v>
      </c>
      <c r="AO359" s="11">
        <v>213</v>
      </c>
      <c r="AP359" s="11"/>
      <c r="AQ359" s="11"/>
      <c r="AR359" s="11"/>
      <c r="AS359" s="11"/>
      <c r="AT359" s="20" t="str">
        <f>HYPERLINK("http://www.openstreetmap.org/?mlat=34.2761&amp;mlon=45.1794&amp;zoom=12#map=12/34.2761/45.1794","Maplink1")</f>
        <v>Maplink1</v>
      </c>
      <c r="AU359" s="20" t="str">
        <f>HYPERLINK("https://www.google.iq/maps/search/+34.2761,45.1794/@34.2761,45.1794,14z?hl=en","Maplink2")</f>
        <v>Maplink2</v>
      </c>
      <c r="AV359" s="20" t="str">
        <f>HYPERLINK("http://www.bing.com/maps/?lvl=14&amp;sty=h&amp;cp=34.2761~45.1794&amp;sp=point.34.2761_45.1794","Maplink3")</f>
        <v>Maplink3</v>
      </c>
    </row>
    <row r="360" spans="1:48" x14ac:dyDescent="0.25">
      <c r="A360" s="9">
        <v>29519</v>
      </c>
      <c r="B360" s="10" t="s">
        <v>13</v>
      </c>
      <c r="C360" s="10" t="s">
        <v>737</v>
      </c>
      <c r="D360" s="10" t="s">
        <v>786</v>
      </c>
      <c r="E360" s="10" t="s">
        <v>787</v>
      </c>
      <c r="F360" s="10">
        <v>34.198936400000001</v>
      </c>
      <c r="G360" s="10">
        <v>45.130894380000001</v>
      </c>
      <c r="H360" s="11">
        <v>60</v>
      </c>
      <c r="I360" s="11">
        <v>360</v>
      </c>
      <c r="J360" s="11"/>
      <c r="K360" s="11"/>
      <c r="L360" s="11"/>
      <c r="M360" s="11"/>
      <c r="N360" s="11"/>
      <c r="O360" s="11">
        <v>60</v>
      </c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>
        <v>60</v>
      </c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>
        <v>60</v>
      </c>
      <c r="AO360" s="11"/>
      <c r="AP360" s="11"/>
      <c r="AQ360" s="11"/>
      <c r="AR360" s="11"/>
      <c r="AS360" s="11"/>
      <c r="AT360" s="20" t="str">
        <f>HYPERLINK("http://www.openstreetmap.org/?mlat=34.1989&amp;mlon=45.1309&amp;zoom=12#map=12/34.1989/45.1309","Maplink1")</f>
        <v>Maplink1</v>
      </c>
      <c r="AU360" s="20" t="str">
        <f>HYPERLINK("https://www.google.iq/maps/search/+34.1989,45.1309/@34.1989,45.1309,14z?hl=en","Maplink2")</f>
        <v>Maplink2</v>
      </c>
      <c r="AV360" s="20" t="str">
        <f>HYPERLINK("http://www.bing.com/maps/?lvl=14&amp;sty=h&amp;cp=34.1989~45.1309&amp;sp=point.34.1989_45.1309","Maplink3")</f>
        <v>Maplink3</v>
      </c>
    </row>
    <row r="361" spans="1:48" x14ac:dyDescent="0.25">
      <c r="A361" s="9">
        <v>29564</v>
      </c>
      <c r="B361" s="10" t="s">
        <v>13</v>
      </c>
      <c r="C361" s="10" t="s">
        <v>737</v>
      </c>
      <c r="D361" s="10" t="s">
        <v>788</v>
      </c>
      <c r="E361" s="10" t="s">
        <v>789</v>
      </c>
      <c r="F361" s="10">
        <v>34.27881447</v>
      </c>
      <c r="G361" s="10">
        <v>45.162148629999997</v>
      </c>
      <c r="H361" s="11">
        <v>331</v>
      </c>
      <c r="I361" s="11">
        <v>1986</v>
      </c>
      <c r="J361" s="11"/>
      <c r="K361" s="11"/>
      <c r="L361" s="11"/>
      <c r="M361" s="11"/>
      <c r="N361" s="11"/>
      <c r="O361" s="11">
        <v>300</v>
      </c>
      <c r="P361" s="11"/>
      <c r="Q361" s="11"/>
      <c r="R361" s="11">
        <v>25</v>
      </c>
      <c r="S361" s="11"/>
      <c r="T361" s="11"/>
      <c r="U361" s="11"/>
      <c r="V361" s="11"/>
      <c r="W361" s="11"/>
      <c r="X361" s="11"/>
      <c r="Y361" s="11">
        <v>6</v>
      </c>
      <c r="Z361" s="11"/>
      <c r="AA361" s="11"/>
      <c r="AB361" s="11"/>
      <c r="AC361" s="11">
        <v>331</v>
      </c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>
        <v>331</v>
      </c>
      <c r="AO361" s="11"/>
      <c r="AP361" s="11"/>
      <c r="AQ361" s="11"/>
      <c r="AR361" s="11"/>
      <c r="AS361" s="11"/>
      <c r="AT361" s="20" t="str">
        <f>HYPERLINK("http://www.openstreetmap.org/?mlat=34.2788&amp;mlon=45.1621&amp;zoom=12#map=12/34.2788/45.1621","Maplink1")</f>
        <v>Maplink1</v>
      </c>
      <c r="AU361" s="20" t="str">
        <f>HYPERLINK("https://www.google.iq/maps/search/+34.2788,45.1621/@34.2788,45.1621,14z?hl=en","Maplink2")</f>
        <v>Maplink2</v>
      </c>
      <c r="AV361" s="20" t="str">
        <f>HYPERLINK("http://www.bing.com/maps/?lvl=14&amp;sty=h&amp;cp=34.2788~45.1621&amp;sp=point.34.2788_45.1621","Maplink3")</f>
        <v>Maplink3</v>
      </c>
    </row>
    <row r="362" spans="1:48" x14ac:dyDescent="0.25">
      <c r="A362" s="9">
        <v>31750</v>
      </c>
      <c r="B362" s="10" t="s">
        <v>13</v>
      </c>
      <c r="C362" s="10" t="s">
        <v>737</v>
      </c>
      <c r="D362" s="10" t="s">
        <v>788</v>
      </c>
      <c r="E362" s="10" t="s">
        <v>790</v>
      </c>
      <c r="F362" s="10">
        <v>34.270833000000003</v>
      </c>
      <c r="G362" s="10">
        <v>45.161110999999998</v>
      </c>
      <c r="H362" s="11">
        <v>415</v>
      </c>
      <c r="I362" s="11">
        <v>2490</v>
      </c>
      <c r="J362" s="11"/>
      <c r="K362" s="11"/>
      <c r="L362" s="11">
        <v>5</v>
      </c>
      <c r="M362" s="11"/>
      <c r="N362" s="11"/>
      <c r="O362" s="11">
        <v>310</v>
      </c>
      <c r="P362" s="11"/>
      <c r="Q362" s="11"/>
      <c r="R362" s="11">
        <v>10</v>
      </c>
      <c r="S362" s="11"/>
      <c r="T362" s="11"/>
      <c r="U362" s="11"/>
      <c r="V362" s="11"/>
      <c r="W362" s="11"/>
      <c r="X362" s="11"/>
      <c r="Y362" s="11">
        <v>90</v>
      </c>
      <c r="Z362" s="11"/>
      <c r="AA362" s="11"/>
      <c r="AB362" s="11"/>
      <c r="AC362" s="11">
        <v>415</v>
      </c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>
        <v>215</v>
      </c>
      <c r="AO362" s="11">
        <v>200</v>
      </c>
      <c r="AP362" s="11"/>
      <c r="AQ362" s="11"/>
      <c r="AR362" s="11"/>
      <c r="AS362" s="11"/>
      <c r="AT362" s="20" t="str">
        <f>HYPERLINK("http://www.openstreetmap.org/?mlat=34.2708&amp;mlon=45.1611&amp;zoom=12#map=12/34.2708/45.1611","Maplink1")</f>
        <v>Maplink1</v>
      </c>
      <c r="AU362" s="20" t="str">
        <f>HYPERLINK("https://www.google.iq/maps/search/+34.2708,45.1611/@34.2708,45.1611,14z?hl=en","Maplink2")</f>
        <v>Maplink2</v>
      </c>
      <c r="AV362" s="20" t="str">
        <f>HYPERLINK("http://www.bing.com/maps/?lvl=14&amp;sty=h&amp;cp=34.2708~45.1611&amp;sp=point.34.2708_45.1611","Maplink3")</f>
        <v>Maplink3</v>
      </c>
    </row>
    <row r="363" spans="1:48" x14ac:dyDescent="0.25">
      <c r="A363" s="9">
        <v>31751</v>
      </c>
      <c r="B363" s="10" t="s">
        <v>13</v>
      </c>
      <c r="C363" s="10" t="s">
        <v>737</v>
      </c>
      <c r="D363" s="10" t="s">
        <v>788</v>
      </c>
      <c r="E363" s="10" t="s">
        <v>791</v>
      </c>
      <c r="F363" s="10">
        <v>34.278333000000003</v>
      </c>
      <c r="G363" s="10">
        <v>45.163055999999997</v>
      </c>
      <c r="H363" s="11">
        <v>320</v>
      </c>
      <c r="I363" s="11">
        <v>1920</v>
      </c>
      <c r="J363" s="11"/>
      <c r="K363" s="11"/>
      <c r="L363" s="11">
        <v>3</v>
      </c>
      <c r="M363" s="11"/>
      <c r="N363" s="11"/>
      <c r="O363" s="11">
        <v>257</v>
      </c>
      <c r="P363" s="11"/>
      <c r="Q363" s="11"/>
      <c r="R363" s="11"/>
      <c r="S363" s="11"/>
      <c r="T363" s="11"/>
      <c r="U363" s="11"/>
      <c r="V363" s="11"/>
      <c r="W363" s="11"/>
      <c r="X363" s="11"/>
      <c r="Y363" s="11">
        <v>60</v>
      </c>
      <c r="Z363" s="11"/>
      <c r="AA363" s="11"/>
      <c r="AB363" s="11"/>
      <c r="AC363" s="11">
        <v>320</v>
      </c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>
        <v>170</v>
      </c>
      <c r="AO363" s="11">
        <v>150</v>
      </c>
      <c r="AP363" s="11"/>
      <c r="AQ363" s="11"/>
      <c r="AR363" s="11"/>
      <c r="AS363" s="11"/>
      <c r="AT363" s="20" t="str">
        <f>HYPERLINK("http://www.openstreetmap.org/?mlat=34.2783&amp;mlon=45.1631&amp;zoom=12#map=12/34.2783/45.1631","Maplink1")</f>
        <v>Maplink1</v>
      </c>
      <c r="AU363" s="20" t="str">
        <f>HYPERLINK("https://www.google.iq/maps/search/+34.2783,45.1631/@34.2783,45.1631,14z?hl=en","Maplink2")</f>
        <v>Maplink2</v>
      </c>
      <c r="AV363" s="20" t="str">
        <f>HYPERLINK("http://www.bing.com/maps/?lvl=14&amp;sty=h&amp;cp=34.2783~45.1631&amp;sp=point.34.2783_45.1631","Maplink3")</f>
        <v>Maplink3</v>
      </c>
    </row>
    <row r="364" spans="1:48" x14ac:dyDescent="0.25">
      <c r="A364" s="9">
        <v>31752</v>
      </c>
      <c r="B364" s="10" t="s">
        <v>13</v>
      </c>
      <c r="C364" s="10" t="s">
        <v>737</v>
      </c>
      <c r="D364" s="10" t="s">
        <v>788</v>
      </c>
      <c r="E364" s="10" t="s">
        <v>792</v>
      </c>
      <c r="F364" s="10">
        <v>34.284166999999997</v>
      </c>
      <c r="G364" s="10">
        <v>45.161667000000001</v>
      </c>
      <c r="H364" s="11">
        <v>300</v>
      </c>
      <c r="I364" s="11">
        <v>1800</v>
      </c>
      <c r="J364" s="11"/>
      <c r="K364" s="11"/>
      <c r="L364" s="11"/>
      <c r="M364" s="11"/>
      <c r="N364" s="11"/>
      <c r="O364" s="11">
        <v>250</v>
      </c>
      <c r="P364" s="11"/>
      <c r="Q364" s="11"/>
      <c r="R364" s="11">
        <v>5</v>
      </c>
      <c r="S364" s="11"/>
      <c r="T364" s="11"/>
      <c r="U364" s="11"/>
      <c r="V364" s="11"/>
      <c r="W364" s="11"/>
      <c r="X364" s="11"/>
      <c r="Y364" s="11">
        <v>45</v>
      </c>
      <c r="Z364" s="11"/>
      <c r="AA364" s="11"/>
      <c r="AB364" s="11"/>
      <c r="AC364" s="11">
        <v>300</v>
      </c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>
        <v>160</v>
      </c>
      <c r="AO364" s="11">
        <v>140</v>
      </c>
      <c r="AP364" s="11"/>
      <c r="AQ364" s="11"/>
      <c r="AR364" s="11"/>
      <c r="AS364" s="11"/>
      <c r="AT364" s="20" t="str">
        <f>HYPERLINK("http://www.openstreetmap.org/?mlat=34.2842&amp;mlon=45.1617&amp;zoom=12#map=12/34.2842/45.1617","Maplink1")</f>
        <v>Maplink1</v>
      </c>
      <c r="AU364" s="20" t="str">
        <f>HYPERLINK("https://www.google.iq/maps/search/+34.2842,45.1617/@34.2842,45.1617,14z?hl=en","Maplink2")</f>
        <v>Maplink2</v>
      </c>
      <c r="AV364" s="20" t="str">
        <f>HYPERLINK("http://www.bing.com/maps/?lvl=14&amp;sty=h&amp;cp=34.2842~45.1617&amp;sp=point.34.2842_45.1617","Maplink3")</f>
        <v>Maplink3</v>
      </c>
    </row>
    <row r="365" spans="1:48" x14ac:dyDescent="0.25">
      <c r="A365" s="9">
        <v>27389</v>
      </c>
      <c r="B365" s="10" t="s">
        <v>13</v>
      </c>
      <c r="C365" s="10" t="s">
        <v>737</v>
      </c>
      <c r="D365" s="10" t="s">
        <v>793</v>
      </c>
      <c r="E365" s="10" t="s">
        <v>794</v>
      </c>
      <c r="F365" s="10">
        <v>34.276698879999998</v>
      </c>
      <c r="G365" s="10">
        <v>45.162752349999998</v>
      </c>
      <c r="H365" s="11">
        <v>442</v>
      </c>
      <c r="I365" s="11">
        <v>2652</v>
      </c>
      <c r="J365" s="11"/>
      <c r="K365" s="11"/>
      <c r="L365" s="11">
        <v>5</v>
      </c>
      <c r="M365" s="11"/>
      <c r="N365" s="11"/>
      <c r="O365" s="11">
        <v>300</v>
      </c>
      <c r="P365" s="11"/>
      <c r="Q365" s="11"/>
      <c r="R365" s="11">
        <v>22</v>
      </c>
      <c r="S365" s="11"/>
      <c r="T365" s="11"/>
      <c r="U365" s="11"/>
      <c r="V365" s="11"/>
      <c r="W365" s="11"/>
      <c r="X365" s="11"/>
      <c r="Y365" s="11">
        <v>115</v>
      </c>
      <c r="Z365" s="11"/>
      <c r="AA365" s="11"/>
      <c r="AB365" s="11"/>
      <c r="AC365" s="11">
        <v>442</v>
      </c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>
        <v>260</v>
      </c>
      <c r="AO365" s="11">
        <v>182</v>
      </c>
      <c r="AP365" s="11"/>
      <c r="AQ365" s="11"/>
      <c r="AR365" s="11"/>
      <c r="AS365" s="11"/>
      <c r="AT365" s="20" t="str">
        <f>HYPERLINK("http://www.openstreetmap.org/?mlat=34.2767&amp;mlon=45.1628&amp;zoom=12#map=12/34.2767/45.1628","Maplink1")</f>
        <v>Maplink1</v>
      </c>
      <c r="AU365" s="20" t="str">
        <f>HYPERLINK("https://www.google.iq/maps/search/+34.2767,45.1628/@34.2767,45.1628,14z?hl=en","Maplink2")</f>
        <v>Maplink2</v>
      </c>
      <c r="AV365" s="20" t="str">
        <f>HYPERLINK("http://www.bing.com/maps/?lvl=14&amp;sty=h&amp;cp=34.2767~45.1628&amp;sp=point.34.2767_45.1628","Maplink3")</f>
        <v>Maplink3</v>
      </c>
    </row>
    <row r="366" spans="1:48" x14ac:dyDescent="0.25">
      <c r="A366" s="9">
        <v>31767</v>
      </c>
      <c r="B366" s="10" t="s">
        <v>13</v>
      </c>
      <c r="C366" s="10" t="s">
        <v>737</v>
      </c>
      <c r="D366" s="10" t="s">
        <v>795</v>
      </c>
      <c r="E366" s="10" t="s">
        <v>796</v>
      </c>
      <c r="F366" s="10">
        <v>34.255277999999997</v>
      </c>
      <c r="G366" s="10">
        <v>45.213611</v>
      </c>
      <c r="H366" s="11">
        <v>75</v>
      </c>
      <c r="I366" s="11">
        <v>450</v>
      </c>
      <c r="J366" s="11"/>
      <c r="K366" s="11"/>
      <c r="L366" s="11"/>
      <c r="M366" s="11"/>
      <c r="N366" s="11"/>
      <c r="O366" s="11">
        <v>71</v>
      </c>
      <c r="P366" s="11"/>
      <c r="Q366" s="11"/>
      <c r="R366" s="11"/>
      <c r="S366" s="11"/>
      <c r="T366" s="11"/>
      <c r="U366" s="11"/>
      <c r="V366" s="11"/>
      <c r="W366" s="11"/>
      <c r="X366" s="11"/>
      <c r="Y366" s="11">
        <v>4</v>
      </c>
      <c r="Z366" s="11"/>
      <c r="AA366" s="11"/>
      <c r="AB366" s="11"/>
      <c r="AC366" s="11">
        <v>75</v>
      </c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>
        <v>25</v>
      </c>
      <c r="AO366" s="11">
        <v>50</v>
      </c>
      <c r="AP366" s="11"/>
      <c r="AQ366" s="11"/>
      <c r="AR366" s="11"/>
      <c r="AS366" s="11"/>
      <c r="AT366" s="20" t="str">
        <f>HYPERLINK("http://www.openstreetmap.org/?mlat=34.2553&amp;mlon=45.2136&amp;zoom=12#map=12/34.2553/45.2136","Maplink1")</f>
        <v>Maplink1</v>
      </c>
      <c r="AU366" s="20" t="str">
        <f>HYPERLINK("https://www.google.iq/maps/search/+34.2553,45.2136/@34.2553,45.2136,14z?hl=en","Maplink2")</f>
        <v>Maplink2</v>
      </c>
      <c r="AV366" s="20" t="str">
        <f>HYPERLINK("http://www.bing.com/maps/?lvl=14&amp;sty=h&amp;cp=34.2553~45.2136&amp;sp=point.34.2553_45.2136","Maplink3")</f>
        <v>Maplink3</v>
      </c>
    </row>
    <row r="367" spans="1:48" x14ac:dyDescent="0.25">
      <c r="A367" s="9">
        <v>29675</v>
      </c>
      <c r="B367" s="10" t="s">
        <v>13</v>
      </c>
      <c r="C367" s="10" t="s">
        <v>737</v>
      </c>
      <c r="D367" s="10" t="s">
        <v>797</v>
      </c>
      <c r="E367" s="10" t="s">
        <v>148</v>
      </c>
      <c r="F367" s="10">
        <v>34.267367815599997</v>
      </c>
      <c r="G367" s="10">
        <v>45.161588668199997</v>
      </c>
      <c r="H367" s="11">
        <v>347</v>
      </c>
      <c r="I367" s="11">
        <v>2082</v>
      </c>
      <c r="J367" s="11"/>
      <c r="K367" s="11"/>
      <c r="L367" s="11">
        <v>5</v>
      </c>
      <c r="M367" s="11"/>
      <c r="N367" s="11"/>
      <c r="O367" s="11">
        <v>297</v>
      </c>
      <c r="P367" s="11"/>
      <c r="Q367" s="11"/>
      <c r="R367" s="11">
        <v>15</v>
      </c>
      <c r="S367" s="11"/>
      <c r="T367" s="11"/>
      <c r="U367" s="11"/>
      <c r="V367" s="11"/>
      <c r="W367" s="11"/>
      <c r="X367" s="11"/>
      <c r="Y367" s="11">
        <v>30</v>
      </c>
      <c r="Z367" s="11"/>
      <c r="AA367" s="11"/>
      <c r="AB367" s="11"/>
      <c r="AC367" s="11">
        <v>337</v>
      </c>
      <c r="AD367" s="11"/>
      <c r="AE367" s="11"/>
      <c r="AF367" s="11"/>
      <c r="AG367" s="11"/>
      <c r="AH367" s="11"/>
      <c r="AI367" s="11">
        <v>10</v>
      </c>
      <c r="AJ367" s="11"/>
      <c r="AK367" s="11"/>
      <c r="AL367" s="11"/>
      <c r="AM367" s="11"/>
      <c r="AN367" s="11">
        <v>207</v>
      </c>
      <c r="AO367" s="11">
        <v>140</v>
      </c>
      <c r="AP367" s="11"/>
      <c r="AQ367" s="11"/>
      <c r="AR367" s="11"/>
      <c r="AS367" s="11"/>
      <c r="AT367" s="20" t="str">
        <f>HYPERLINK("http://www.openstreetmap.org/?mlat=34.2674&amp;mlon=45.1616&amp;zoom=12#map=12/34.2674/45.1616","Maplink1")</f>
        <v>Maplink1</v>
      </c>
      <c r="AU367" s="20" t="str">
        <f>HYPERLINK("https://www.google.iq/maps/search/+34.2674,45.1616/@34.2674,45.1616,14z?hl=en","Maplink2")</f>
        <v>Maplink2</v>
      </c>
      <c r="AV367" s="20" t="str">
        <f>HYPERLINK("http://www.bing.com/maps/?lvl=14&amp;sty=h&amp;cp=34.2674~45.1616&amp;sp=point.34.2674_45.1616","Maplink3")</f>
        <v>Maplink3</v>
      </c>
    </row>
    <row r="368" spans="1:48" x14ac:dyDescent="0.25">
      <c r="A368" s="9">
        <v>31763</v>
      </c>
      <c r="B368" s="10" t="s">
        <v>13</v>
      </c>
      <c r="C368" s="10" t="s">
        <v>737</v>
      </c>
      <c r="D368" s="10" t="s">
        <v>798</v>
      </c>
      <c r="E368" s="10" t="s">
        <v>799</v>
      </c>
      <c r="F368" s="10">
        <v>34.269722000000002</v>
      </c>
      <c r="G368" s="10">
        <v>45.162222</v>
      </c>
      <c r="H368" s="11">
        <v>370</v>
      </c>
      <c r="I368" s="11">
        <v>2220</v>
      </c>
      <c r="J368" s="11"/>
      <c r="K368" s="11"/>
      <c r="L368" s="11"/>
      <c r="M368" s="11"/>
      <c r="N368" s="11"/>
      <c r="O368" s="11">
        <v>294</v>
      </c>
      <c r="P368" s="11"/>
      <c r="Q368" s="11"/>
      <c r="R368" s="11">
        <v>5</v>
      </c>
      <c r="S368" s="11"/>
      <c r="T368" s="11"/>
      <c r="U368" s="11"/>
      <c r="V368" s="11"/>
      <c r="W368" s="11"/>
      <c r="X368" s="11"/>
      <c r="Y368" s="11">
        <v>71</v>
      </c>
      <c r="Z368" s="11"/>
      <c r="AA368" s="11"/>
      <c r="AB368" s="11"/>
      <c r="AC368" s="11">
        <v>360</v>
      </c>
      <c r="AD368" s="11"/>
      <c r="AE368" s="11"/>
      <c r="AF368" s="11"/>
      <c r="AG368" s="11"/>
      <c r="AH368" s="11"/>
      <c r="AI368" s="11">
        <v>10</v>
      </c>
      <c r="AJ368" s="11"/>
      <c r="AK368" s="11"/>
      <c r="AL368" s="11"/>
      <c r="AM368" s="11"/>
      <c r="AN368" s="11">
        <v>170</v>
      </c>
      <c r="AO368" s="11">
        <v>200</v>
      </c>
      <c r="AP368" s="11"/>
      <c r="AQ368" s="11"/>
      <c r="AR368" s="11"/>
      <c r="AS368" s="11"/>
      <c r="AT368" s="20" t="str">
        <f>HYPERLINK("http://www.openstreetmap.org/?mlat=34.2697&amp;mlon=45.1622&amp;zoom=12#map=12/34.2697/45.1622","Maplink1")</f>
        <v>Maplink1</v>
      </c>
      <c r="AU368" s="20" t="str">
        <f>HYPERLINK("https://www.google.iq/maps/search/+34.2697,45.1622/@34.2697,45.1622,14z?hl=en","Maplink2")</f>
        <v>Maplink2</v>
      </c>
      <c r="AV368" s="20" t="str">
        <f>HYPERLINK("http://www.bing.com/maps/?lvl=14&amp;sty=h&amp;cp=34.2697~45.1622&amp;sp=point.34.2697_45.1622","Maplink3")</f>
        <v>Maplink3</v>
      </c>
    </row>
    <row r="369" spans="1:48" x14ac:dyDescent="0.25">
      <c r="A369" s="9">
        <v>31764</v>
      </c>
      <c r="B369" s="10" t="s">
        <v>13</v>
      </c>
      <c r="C369" s="10" t="s">
        <v>737</v>
      </c>
      <c r="D369" s="10" t="s">
        <v>800</v>
      </c>
      <c r="E369" s="10" t="s">
        <v>801</v>
      </c>
      <c r="F369" s="10">
        <v>34.266666999999998</v>
      </c>
      <c r="G369" s="10">
        <v>45.163055999999997</v>
      </c>
      <c r="H369" s="11">
        <v>325</v>
      </c>
      <c r="I369" s="11">
        <v>1950</v>
      </c>
      <c r="J369" s="11"/>
      <c r="K369" s="11"/>
      <c r="L369" s="11">
        <v>10</v>
      </c>
      <c r="M369" s="11"/>
      <c r="N369" s="11"/>
      <c r="O369" s="11">
        <v>245</v>
      </c>
      <c r="P369" s="11"/>
      <c r="Q369" s="11"/>
      <c r="R369" s="11">
        <v>10</v>
      </c>
      <c r="S369" s="11"/>
      <c r="T369" s="11"/>
      <c r="U369" s="11"/>
      <c r="V369" s="11"/>
      <c r="W369" s="11"/>
      <c r="X369" s="11"/>
      <c r="Y369" s="11">
        <v>60</v>
      </c>
      <c r="Z369" s="11"/>
      <c r="AA369" s="11"/>
      <c r="AB369" s="11"/>
      <c r="AC369" s="11">
        <v>318</v>
      </c>
      <c r="AD369" s="11"/>
      <c r="AE369" s="11"/>
      <c r="AF369" s="11"/>
      <c r="AG369" s="11"/>
      <c r="AH369" s="11"/>
      <c r="AI369" s="11">
        <v>7</v>
      </c>
      <c r="AJ369" s="11"/>
      <c r="AK369" s="11"/>
      <c r="AL369" s="11"/>
      <c r="AM369" s="11"/>
      <c r="AN369" s="11">
        <v>150</v>
      </c>
      <c r="AO369" s="11">
        <v>175</v>
      </c>
      <c r="AP369" s="11"/>
      <c r="AQ369" s="11"/>
      <c r="AR369" s="11"/>
      <c r="AS369" s="11"/>
      <c r="AT369" s="20" t="str">
        <f>HYPERLINK("http://www.openstreetmap.org/?mlat=34.2667&amp;mlon=45.1631&amp;zoom=12#map=12/34.2667/45.1631","Maplink1")</f>
        <v>Maplink1</v>
      </c>
      <c r="AU369" s="20" t="str">
        <f>HYPERLINK("https://www.google.iq/maps/search/+34.2667,45.1631/@34.2667,45.1631,14z?hl=en","Maplink2")</f>
        <v>Maplink2</v>
      </c>
      <c r="AV369" s="20" t="str">
        <f>HYPERLINK("http://www.bing.com/maps/?lvl=14&amp;sty=h&amp;cp=34.2667~45.1631&amp;sp=point.34.2667_45.1631","Maplink3")</f>
        <v>Maplink3</v>
      </c>
    </row>
    <row r="370" spans="1:48" x14ac:dyDescent="0.25">
      <c r="A370" s="9">
        <v>31765</v>
      </c>
      <c r="B370" s="10" t="s">
        <v>13</v>
      </c>
      <c r="C370" s="10" t="s">
        <v>737</v>
      </c>
      <c r="D370" s="10" t="s">
        <v>802</v>
      </c>
      <c r="E370" s="10" t="s">
        <v>803</v>
      </c>
      <c r="F370" s="10">
        <v>34.264443999999997</v>
      </c>
      <c r="G370" s="10">
        <v>45.161943999999998</v>
      </c>
      <c r="H370" s="11">
        <v>390</v>
      </c>
      <c r="I370" s="11">
        <v>2340</v>
      </c>
      <c r="J370" s="11"/>
      <c r="K370" s="11"/>
      <c r="L370" s="11">
        <v>11</v>
      </c>
      <c r="M370" s="11"/>
      <c r="N370" s="11"/>
      <c r="O370" s="11">
        <v>287</v>
      </c>
      <c r="P370" s="11"/>
      <c r="Q370" s="11"/>
      <c r="R370" s="11">
        <v>12</v>
      </c>
      <c r="S370" s="11"/>
      <c r="T370" s="11"/>
      <c r="U370" s="11"/>
      <c r="V370" s="11"/>
      <c r="W370" s="11"/>
      <c r="X370" s="11"/>
      <c r="Y370" s="11">
        <v>80</v>
      </c>
      <c r="Z370" s="11"/>
      <c r="AA370" s="11"/>
      <c r="AB370" s="11"/>
      <c r="AC370" s="11">
        <v>390</v>
      </c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>
        <v>185</v>
      </c>
      <c r="AO370" s="11">
        <v>205</v>
      </c>
      <c r="AP370" s="11"/>
      <c r="AQ370" s="11"/>
      <c r="AR370" s="11"/>
      <c r="AS370" s="11"/>
      <c r="AT370" s="20" t="str">
        <f>HYPERLINK("http://www.openstreetmap.org/?mlat=34.2644&amp;mlon=45.1619&amp;zoom=12#map=12/34.2644/45.1619","Maplink1")</f>
        <v>Maplink1</v>
      </c>
      <c r="AU370" s="20" t="str">
        <f>HYPERLINK("https://www.google.iq/maps/search/+34.2644,45.1619/@34.2644,45.1619,14z?hl=en","Maplink2")</f>
        <v>Maplink2</v>
      </c>
      <c r="AV370" s="20" t="str">
        <f>HYPERLINK("http://www.bing.com/maps/?lvl=14&amp;sty=h&amp;cp=34.2644~45.1619&amp;sp=point.34.2644_45.1619","Maplink3")</f>
        <v>Maplink3</v>
      </c>
    </row>
    <row r="371" spans="1:48" x14ac:dyDescent="0.25">
      <c r="A371" s="9">
        <v>31766</v>
      </c>
      <c r="B371" s="10" t="s">
        <v>13</v>
      </c>
      <c r="C371" s="10" t="s">
        <v>737</v>
      </c>
      <c r="D371" s="10" t="s">
        <v>804</v>
      </c>
      <c r="E371" s="10" t="s">
        <v>805</v>
      </c>
      <c r="F371" s="10">
        <v>34.262777999999997</v>
      </c>
      <c r="G371" s="10">
        <v>45.159722000000002</v>
      </c>
      <c r="H371" s="11">
        <v>600</v>
      </c>
      <c r="I371" s="11">
        <v>3600</v>
      </c>
      <c r="J371" s="11"/>
      <c r="K371" s="11"/>
      <c r="L371" s="11">
        <v>15</v>
      </c>
      <c r="M371" s="11"/>
      <c r="N371" s="11"/>
      <c r="O371" s="11">
        <v>450</v>
      </c>
      <c r="P371" s="11"/>
      <c r="Q371" s="11"/>
      <c r="R371" s="11">
        <v>30</v>
      </c>
      <c r="S371" s="11"/>
      <c r="T371" s="11"/>
      <c r="U371" s="11"/>
      <c r="V371" s="11"/>
      <c r="W371" s="11"/>
      <c r="X371" s="11"/>
      <c r="Y371" s="11">
        <v>105</v>
      </c>
      <c r="Z371" s="11"/>
      <c r="AA371" s="11"/>
      <c r="AB371" s="11"/>
      <c r="AC371" s="11">
        <v>600</v>
      </c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>
        <v>250</v>
      </c>
      <c r="AO371" s="11">
        <v>350</v>
      </c>
      <c r="AP371" s="11"/>
      <c r="AQ371" s="11"/>
      <c r="AR371" s="11"/>
      <c r="AS371" s="11"/>
      <c r="AT371" s="20" t="str">
        <f>HYPERLINK("http://www.openstreetmap.org/?mlat=34.2628&amp;mlon=45.1597&amp;zoom=12#map=12/34.2628/45.1597","Maplink1")</f>
        <v>Maplink1</v>
      </c>
      <c r="AU371" s="20" t="str">
        <f>HYPERLINK("https://www.google.iq/maps/search/+34.2628,45.1597/@34.2628,45.1597,14z?hl=en","Maplink2")</f>
        <v>Maplink2</v>
      </c>
      <c r="AV371" s="20" t="str">
        <f>HYPERLINK("http://www.bing.com/maps/?lvl=14&amp;sty=h&amp;cp=34.2628~45.1597&amp;sp=point.34.2628_45.1597","Maplink3")</f>
        <v>Maplink3</v>
      </c>
    </row>
    <row r="372" spans="1:48" x14ac:dyDescent="0.25">
      <c r="A372" s="9">
        <v>29587</v>
      </c>
      <c r="B372" s="10" t="s">
        <v>13</v>
      </c>
      <c r="C372" s="10" t="s">
        <v>737</v>
      </c>
      <c r="D372" s="10" t="s">
        <v>806</v>
      </c>
      <c r="E372" s="10" t="s">
        <v>807</v>
      </c>
      <c r="F372" s="10">
        <v>34.186426304800001</v>
      </c>
      <c r="G372" s="10">
        <v>45.114978194000003</v>
      </c>
      <c r="H372" s="11">
        <v>50</v>
      </c>
      <c r="I372" s="11">
        <v>300</v>
      </c>
      <c r="J372" s="11"/>
      <c r="K372" s="11"/>
      <c r="L372" s="11"/>
      <c r="M372" s="11"/>
      <c r="N372" s="11"/>
      <c r="O372" s="11">
        <v>35</v>
      </c>
      <c r="P372" s="11">
        <v>2</v>
      </c>
      <c r="Q372" s="11"/>
      <c r="R372" s="11">
        <v>6</v>
      </c>
      <c r="S372" s="11"/>
      <c r="T372" s="11"/>
      <c r="U372" s="11"/>
      <c r="V372" s="11"/>
      <c r="W372" s="11"/>
      <c r="X372" s="11"/>
      <c r="Y372" s="11">
        <v>7</v>
      </c>
      <c r="Z372" s="11"/>
      <c r="AA372" s="11"/>
      <c r="AB372" s="11"/>
      <c r="AC372" s="11">
        <v>50</v>
      </c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>
        <v>50</v>
      </c>
      <c r="AO372" s="11"/>
      <c r="AP372" s="11"/>
      <c r="AQ372" s="11"/>
      <c r="AR372" s="11"/>
      <c r="AS372" s="11"/>
      <c r="AT372" s="20" t="str">
        <f>HYPERLINK("http://www.openstreetmap.org/?mlat=34.1864&amp;mlon=45.115&amp;zoom=12#map=12/34.1864/45.115","Maplink1")</f>
        <v>Maplink1</v>
      </c>
      <c r="AU372" s="20" t="str">
        <f>HYPERLINK("https://www.google.iq/maps/search/+34.1864,45.115/@34.1864,45.115,14z?hl=en","Maplink2")</f>
        <v>Maplink2</v>
      </c>
      <c r="AV372" s="20" t="str">
        <f>HYPERLINK("http://www.bing.com/maps/?lvl=14&amp;sty=h&amp;cp=34.1864~45.115&amp;sp=point.34.1864_45.115","Maplink3")</f>
        <v>Maplink3</v>
      </c>
    </row>
    <row r="373" spans="1:48" x14ac:dyDescent="0.25">
      <c r="A373" s="9">
        <v>28460</v>
      </c>
      <c r="B373" s="10" t="s">
        <v>13</v>
      </c>
      <c r="C373" s="10" t="s">
        <v>737</v>
      </c>
      <c r="D373" s="10" t="s">
        <v>808</v>
      </c>
      <c r="E373" s="10" t="s">
        <v>807</v>
      </c>
      <c r="F373" s="10">
        <v>34.288499219999999</v>
      </c>
      <c r="G373" s="10">
        <v>45.160837190000002</v>
      </c>
      <c r="H373" s="11">
        <v>410</v>
      </c>
      <c r="I373" s="11">
        <v>2460</v>
      </c>
      <c r="J373" s="11"/>
      <c r="K373" s="11"/>
      <c r="L373" s="11">
        <v>5</v>
      </c>
      <c r="M373" s="11"/>
      <c r="N373" s="11"/>
      <c r="O373" s="11">
        <v>295</v>
      </c>
      <c r="P373" s="11">
        <v>3</v>
      </c>
      <c r="Q373" s="11"/>
      <c r="R373" s="11">
        <v>22</v>
      </c>
      <c r="S373" s="11"/>
      <c r="T373" s="11"/>
      <c r="U373" s="11"/>
      <c r="V373" s="11"/>
      <c r="W373" s="11"/>
      <c r="X373" s="11"/>
      <c r="Y373" s="11">
        <v>85</v>
      </c>
      <c r="Z373" s="11"/>
      <c r="AA373" s="11"/>
      <c r="AB373" s="11"/>
      <c r="AC373" s="11">
        <v>410</v>
      </c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>
        <v>240</v>
      </c>
      <c r="AO373" s="11">
        <v>170</v>
      </c>
      <c r="AP373" s="11"/>
      <c r="AQ373" s="11"/>
      <c r="AR373" s="11"/>
      <c r="AS373" s="11"/>
      <c r="AT373" s="20" t="str">
        <f>HYPERLINK("http://www.openstreetmap.org/?mlat=34.2885&amp;mlon=45.1608&amp;zoom=12#map=12/34.2885/45.1608","Maplink1")</f>
        <v>Maplink1</v>
      </c>
      <c r="AU373" s="20" t="str">
        <f>HYPERLINK("https://www.google.iq/maps/search/+34.2885,45.1608/@34.2885,45.1608,14z?hl=en","Maplink2")</f>
        <v>Maplink2</v>
      </c>
      <c r="AV373" s="20" t="str">
        <f>HYPERLINK("http://www.bing.com/maps/?lvl=14&amp;sty=h&amp;cp=34.2885~45.1608&amp;sp=point.34.2885_45.1608","Maplink3")</f>
        <v>Maplink3</v>
      </c>
    </row>
    <row r="374" spans="1:48" x14ac:dyDescent="0.25">
      <c r="A374" s="9">
        <v>31745</v>
      </c>
      <c r="B374" s="10" t="s">
        <v>13</v>
      </c>
      <c r="C374" s="10" t="s">
        <v>737</v>
      </c>
      <c r="D374" s="10" t="s">
        <v>809</v>
      </c>
      <c r="E374" s="10" t="s">
        <v>810</v>
      </c>
      <c r="F374" s="10">
        <v>34.28763</v>
      </c>
      <c r="G374" s="10">
        <v>45.163473000000003</v>
      </c>
      <c r="H374" s="11">
        <v>354</v>
      </c>
      <c r="I374" s="11">
        <v>2124</v>
      </c>
      <c r="J374" s="11"/>
      <c r="K374" s="11"/>
      <c r="L374" s="11">
        <v>8</v>
      </c>
      <c r="M374" s="11"/>
      <c r="N374" s="11"/>
      <c r="O374" s="11">
        <v>289</v>
      </c>
      <c r="P374" s="11"/>
      <c r="Q374" s="11"/>
      <c r="R374" s="11">
        <v>7</v>
      </c>
      <c r="S374" s="11"/>
      <c r="T374" s="11"/>
      <c r="U374" s="11"/>
      <c r="V374" s="11"/>
      <c r="W374" s="11"/>
      <c r="X374" s="11"/>
      <c r="Y374" s="11">
        <v>50</v>
      </c>
      <c r="Z374" s="11"/>
      <c r="AA374" s="11"/>
      <c r="AB374" s="11"/>
      <c r="AC374" s="11">
        <v>354</v>
      </c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>
        <v>154</v>
      </c>
      <c r="AO374" s="11">
        <v>200</v>
      </c>
      <c r="AP374" s="11"/>
      <c r="AQ374" s="11"/>
      <c r="AR374" s="11"/>
      <c r="AS374" s="11"/>
      <c r="AT374" s="20" t="str">
        <f>HYPERLINK("http://www.openstreetmap.org/?mlat=34.2876&amp;mlon=45.1635&amp;zoom=12#map=12/34.2876/45.1635","Maplink1")</f>
        <v>Maplink1</v>
      </c>
      <c r="AU374" s="20" t="str">
        <f>HYPERLINK("https://www.google.iq/maps/search/+34.2876,45.1635/@34.2876,45.1635,14z?hl=en","Maplink2")</f>
        <v>Maplink2</v>
      </c>
      <c r="AV374" s="20" t="str">
        <f>HYPERLINK("http://www.bing.com/maps/?lvl=14&amp;sty=h&amp;cp=34.2876~45.1635&amp;sp=point.34.2876_45.1635","Maplink3")</f>
        <v>Maplink3</v>
      </c>
    </row>
    <row r="375" spans="1:48" x14ac:dyDescent="0.25">
      <c r="A375" s="9">
        <v>31746</v>
      </c>
      <c r="B375" s="10" t="s">
        <v>13</v>
      </c>
      <c r="C375" s="10" t="s">
        <v>737</v>
      </c>
      <c r="D375" s="10" t="s">
        <v>811</v>
      </c>
      <c r="E375" s="10" t="s">
        <v>812</v>
      </c>
      <c r="F375" s="10">
        <v>34.287222</v>
      </c>
      <c r="G375" s="10">
        <v>45.165556000000002</v>
      </c>
      <c r="H375" s="11">
        <v>300</v>
      </c>
      <c r="I375" s="11">
        <v>1800</v>
      </c>
      <c r="J375" s="11"/>
      <c r="K375" s="11"/>
      <c r="L375" s="11"/>
      <c r="M375" s="11"/>
      <c r="N375" s="11"/>
      <c r="O375" s="11">
        <v>250</v>
      </c>
      <c r="P375" s="11"/>
      <c r="Q375" s="11"/>
      <c r="R375" s="11"/>
      <c r="S375" s="11"/>
      <c r="T375" s="11"/>
      <c r="U375" s="11"/>
      <c r="V375" s="11"/>
      <c r="W375" s="11"/>
      <c r="X375" s="11"/>
      <c r="Y375" s="11">
        <v>50</v>
      </c>
      <c r="Z375" s="11"/>
      <c r="AA375" s="11"/>
      <c r="AB375" s="11"/>
      <c r="AC375" s="11">
        <v>300</v>
      </c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>
        <v>200</v>
      </c>
      <c r="AO375" s="11">
        <v>100</v>
      </c>
      <c r="AP375" s="11"/>
      <c r="AQ375" s="11"/>
      <c r="AR375" s="11"/>
      <c r="AS375" s="11"/>
      <c r="AT375" s="20" t="str">
        <f>HYPERLINK("http://www.openstreetmap.org/?mlat=34.2872&amp;mlon=45.1656&amp;zoom=12#map=12/34.2872/45.1656","Maplink1")</f>
        <v>Maplink1</v>
      </c>
      <c r="AU375" s="20" t="str">
        <f>HYPERLINK("https://www.google.iq/maps/search/+34.2872,45.1656/@34.2872,45.1656,14z?hl=en","Maplink2")</f>
        <v>Maplink2</v>
      </c>
      <c r="AV375" s="20" t="str">
        <f>HYPERLINK("http://www.bing.com/maps/?lvl=14&amp;sty=h&amp;cp=34.2872~45.1656&amp;sp=point.34.2872_45.1656","Maplink3")</f>
        <v>Maplink3</v>
      </c>
    </row>
    <row r="376" spans="1:48" x14ac:dyDescent="0.25">
      <c r="A376" s="9">
        <v>31747</v>
      </c>
      <c r="B376" s="10" t="s">
        <v>13</v>
      </c>
      <c r="C376" s="10" t="s">
        <v>737</v>
      </c>
      <c r="D376" s="10" t="s">
        <v>813</v>
      </c>
      <c r="E376" s="10" t="s">
        <v>814</v>
      </c>
      <c r="F376" s="10">
        <v>34.288611000000003</v>
      </c>
      <c r="G376" s="10">
        <v>45.168056</v>
      </c>
      <c r="H376" s="11">
        <v>200</v>
      </c>
      <c r="I376" s="11">
        <v>1200</v>
      </c>
      <c r="J376" s="11"/>
      <c r="K376" s="11"/>
      <c r="L376" s="11"/>
      <c r="M376" s="11"/>
      <c r="N376" s="11"/>
      <c r="O376" s="11">
        <v>160</v>
      </c>
      <c r="P376" s="11"/>
      <c r="Q376" s="11"/>
      <c r="R376" s="11">
        <v>5</v>
      </c>
      <c r="S376" s="11"/>
      <c r="T376" s="11"/>
      <c r="U376" s="11"/>
      <c r="V376" s="11"/>
      <c r="W376" s="11"/>
      <c r="X376" s="11"/>
      <c r="Y376" s="11">
        <v>35</v>
      </c>
      <c r="Z376" s="11"/>
      <c r="AA376" s="11"/>
      <c r="AB376" s="11"/>
      <c r="AC376" s="11">
        <v>200</v>
      </c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>
        <v>130</v>
      </c>
      <c r="AO376" s="11">
        <v>70</v>
      </c>
      <c r="AP376" s="11"/>
      <c r="AQ376" s="11"/>
      <c r="AR376" s="11"/>
      <c r="AS376" s="11"/>
      <c r="AT376" s="20" t="str">
        <f>HYPERLINK("http://www.openstreetmap.org/?mlat=34.2886&amp;mlon=45.1681&amp;zoom=12#map=12/34.2886/45.1681","Maplink1")</f>
        <v>Maplink1</v>
      </c>
      <c r="AU376" s="20" t="str">
        <f>HYPERLINK("https://www.google.iq/maps/search/+34.2886,45.1681/@34.2886,45.1681,14z?hl=en","Maplink2")</f>
        <v>Maplink2</v>
      </c>
      <c r="AV376" s="20" t="str">
        <f>HYPERLINK("http://www.bing.com/maps/?lvl=14&amp;sty=h&amp;cp=34.2886~45.1681&amp;sp=point.34.2886_45.1681","Maplink3")</f>
        <v>Maplink3</v>
      </c>
    </row>
    <row r="377" spans="1:48" x14ac:dyDescent="0.25">
      <c r="A377" s="9">
        <v>29629</v>
      </c>
      <c r="B377" s="10" t="s">
        <v>13</v>
      </c>
      <c r="C377" s="10" t="s">
        <v>737</v>
      </c>
      <c r="D377" s="10" t="s">
        <v>815</v>
      </c>
      <c r="E377" s="10" t="s">
        <v>816</v>
      </c>
      <c r="F377" s="10">
        <v>34.155168893899997</v>
      </c>
      <c r="G377" s="10">
        <v>45.127185000200001</v>
      </c>
      <c r="H377" s="11">
        <v>220</v>
      </c>
      <c r="I377" s="11">
        <v>1320</v>
      </c>
      <c r="J377" s="11"/>
      <c r="K377" s="11"/>
      <c r="L377" s="11"/>
      <c r="M377" s="11"/>
      <c r="N377" s="11"/>
      <c r="O377" s="11">
        <v>220</v>
      </c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>
        <v>220</v>
      </c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>
        <v>220</v>
      </c>
      <c r="AO377" s="11"/>
      <c r="AP377" s="11"/>
      <c r="AQ377" s="11"/>
      <c r="AR377" s="11"/>
      <c r="AS377" s="11"/>
      <c r="AT377" s="20" t="str">
        <f>HYPERLINK("http://www.openstreetmap.org/?mlat=34.1552&amp;mlon=45.1272&amp;zoom=12#map=12/34.1552/45.1272","Maplink1")</f>
        <v>Maplink1</v>
      </c>
      <c r="AU377" s="20" t="str">
        <f>HYPERLINK("https://www.google.iq/maps/search/+34.1552,45.1272/@34.1552,45.1272,14z?hl=en","Maplink2")</f>
        <v>Maplink2</v>
      </c>
      <c r="AV377" s="20" t="str">
        <f>HYPERLINK("http://www.bing.com/maps/?lvl=14&amp;sty=h&amp;cp=34.1552~45.1272&amp;sp=point.34.1552_45.1272","Maplink3")</f>
        <v>Maplink3</v>
      </c>
    </row>
    <row r="378" spans="1:48" x14ac:dyDescent="0.25">
      <c r="A378" s="9">
        <v>29630</v>
      </c>
      <c r="B378" s="10" t="s">
        <v>13</v>
      </c>
      <c r="C378" s="10" t="s">
        <v>737</v>
      </c>
      <c r="D378" s="10" t="s">
        <v>817</v>
      </c>
      <c r="E378" s="10" t="s">
        <v>818</v>
      </c>
      <c r="F378" s="10">
        <v>34.224861591200003</v>
      </c>
      <c r="G378" s="10">
        <v>45.132155941299999</v>
      </c>
      <c r="H378" s="11">
        <v>326</v>
      </c>
      <c r="I378" s="11">
        <v>1956</v>
      </c>
      <c r="J378" s="11"/>
      <c r="K378" s="11"/>
      <c r="L378" s="11"/>
      <c r="M378" s="11"/>
      <c r="N378" s="11"/>
      <c r="O378" s="11">
        <v>300</v>
      </c>
      <c r="P378" s="11"/>
      <c r="Q378" s="11"/>
      <c r="R378" s="11"/>
      <c r="S378" s="11"/>
      <c r="T378" s="11"/>
      <c r="U378" s="11"/>
      <c r="V378" s="11"/>
      <c r="W378" s="11"/>
      <c r="X378" s="11"/>
      <c r="Y378" s="11">
        <v>26</v>
      </c>
      <c r="Z378" s="11"/>
      <c r="AA378" s="11"/>
      <c r="AB378" s="11"/>
      <c r="AC378" s="11">
        <v>326</v>
      </c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>
        <v>326</v>
      </c>
      <c r="AO378" s="11"/>
      <c r="AP378" s="11"/>
      <c r="AQ378" s="11"/>
      <c r="AR378" s="11"/>
      <c r="AS378" s="11"/>
      <c r="AT378" s="20" t="str">
        <f>HYPERLINK("http://www.openstreetmap.org/?mlat=34.2249&amp;mlon=45.1322&amp;zoom=12#map=12/34.2249/45.1322","Maplink1")</f>
        <v>Maplink1</v>
      </c>
      <c r="AU378" s="20" t="str">
        <f>HYPERLINK("https://www.google.iq/maps/search/+34.2249,45.1322/@34.2249,45.1322,14z?hl=en","Maplink2")</f>
        <v>Maplink2</v>
      </c>
      <c r="AV378" s="20" t="str">
        <f>HYPERLINK("http://www.bing.com/maps/?lvl=14&amp;sty=h&amp;cp=34.2249~45.1322&amp;sp=point.34.2249_45.1322","Maplink3")</f>
        <v>Maplink3</v>
      </c>
    </row>
    <row r="379" spans="1:48" x14ac:dyDescent="0.25">
      <c r="A379" s="9">
        <v>29520</v>
      </c>
      <c r="B379" s="10" t="s">
        <v>13</v>
      </c>
      <c r="C379" s="10" t="s">
        <v>737</v>
      </c>
      <c r="D379" s="10" t="s">
        <v>819</v>
      </c>
      <c r="E379" s="10" t="s">
        <v>820</v>
      </c>
      <c r="F379" s="10">
        <v>34.189599370000003</v>
      </c>
      <c r="G379" s="10">
        <v>45.116669379999998</v>
      </c>
      <c r="H379" s="11">
        <v>70</v>
      </c>
      <c r="I379" s="11">
        <v>420</v>
      </c>
      <c r="J379" s="11"/>
      <c r="K379" s="11"/>
      <c r="L379" s="11"/>
      <c r="M379" s="11"/>
      <c r="N379" s="11"/>
      <c r="O379" s="11">
        <v>65</v>
      </c>
      <c r="P379" s="11"/>
      <c r="Q379" s="11"/>
      <c r="R379" s="11">
        <v>5</v>
      </c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>
        <v>70</v>
      </c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>
        <v>70</v>
      </c>
      <c r="AO379" s="11"/>
      <c r="AP379" s="11"/>
      <c r="AQ379" s="11"/>
      <c r="AR379" s="11"/>
      <c r="AS379" s="11"/>
      <c r="AT379" s="20" t="str">
        <f>HYPERLINK("http://www.openstreetmap.org/?mlat=34.1896&amp;mlon=45.1167&amp;zoom=12#map=12/34.1896/45.1167","Maplink1")</f>
        <v>Maplink1</v>
      </c>
      <c r="AU379" s="20" t="str">
        <f>HYPERLINK("https://www.google.iq/maps/search/+34.1896,45.1167/@34.1896,45.1167,14z?hl=en","Maplink2")</f>
        <v>Maplink2</v>
      </c>
      <c r="AV379" s="20" t="str">
        <f>HYPERLINK("http://www.bing.com/maps/?lvl=14&amp;sty=h&amp;cp=34.1896~45.1167&amp;sp=point.34.1896_45.1167","Maplink3")</f>
        <v>Maplink3</v>
      </c>
    </row>
    <row r="380" spans="1:48" x14ac:dyDescent="0.25">
      <c r="A380" s="9">
        <v>10747</v>
      </c>
      <c r="B380" s="10" t="s">
        <v>13</v>
      </c>
      <c r="C380" s="10" t="s">
        <v>737</v>
      </c>
      <c r="D380" s="10" t="s">
        <v>821</v>
      </c>
      <c r="E380" s="10" t="s">
        <v>822</v>
      </c>
      <c r="F380" s="10">
        <v>34.2988417969</v>
      </c>
      <c r="G380" s="10">
        <v>45.174670383900001</v>
      </c>
      <c r="H380" s="11">
        <v>67</v>
      </c>
      <c r="I380" s="11">
        <v>402</v>
      </c>
      <c r="J380" s="11"/>
      <c r="K380" s="11"/>
      <c r="L380" s="11"/>
      <c r="M380" s="11"/>
      <c r="N380" s="11"/>
      <c r="O380" s="11">
        <v>67</v>
      </c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>
        <v>62</v>
      </c>
      <c r="AD380" s="11">
        <v>5</v>
      </c>
      <c r="AE380" s="11"/>
      <c r="AF380" s="11"/>
      <c r="AG380" s="11"/>
      <c r="AH380" s="11"/>
      <c r="AI380" s="11"/>
      <c r="AJ380" s="11"/>
      <c r="AK380" s="11"/>
      <c r="AL380" s="11"/>
      <c r="AM380" s="11"/>
      <c r="AN380" s="11">
        <v>67</v>
      </c>
      <c r="AO380" s="11"/>
      <c r="AP380" s="11"/>
      <c r="AQ380" s="11"/>
      <c r="AR380" s="11"/>
      <c r="AS380" s="11"/>
      <c r="AT380" s="20" t="str">
        <f>HYPERLINK("http://www.openstreetmap.org/?mlat=34.2988&amp;mlon=45.1747&amp;zoom=12#map=12/34.2988/45.1747","Maplink1")</f>
        <v>Maplink1</v>
      </c>
      <c r="AU380" s="20" t="str">
        <f>HYPERLINK("https://www.google.iq/maps/search/+34.2988,45.1747/@34.2988,45.1747,14z?hl=en","Maplink2")</f>
        <v>Maplink2</v>
      </c>
      <c r="AV380" s="20" t="str">
        <f>HYPERLINK("http://www.bing.com/maps/?lvl=14&amp;sty=h&amp;cp=34.2988~45.1747&amp;sp=point.34.2988_45.1747","Maplink3")</f>
        <v>Maplink3</v>
      </c>
    </row>
    <row r="381" spans="1:48" x14ac:dyDescent="0.25">
      <c r="A381" s="9">
        <v>27390</v>
      </c>
      <c r="B381" s="10" t="s">
        <v>13</v>
      </c>
      <c r="C381" s="10" t="s">
        <v>737</v>
      </c>
      <c r="D381" s="10" t="s">
        <v>823</v>
      </c>
      <c r="E381" s="10" t="s">
        <v>824</v>
      </c>
      <c r="F381" s="10">
        <v>34.297207562099999</v>
      </c>
      <c r="G381" s="10">
        <v>45.171253284899997</v>
      </c>
      <c r="H381" s="11">
        <v>68</v>
      </c>
      <c r="I381" s="11">
        <v>408</v>
      </c>
      <c r="J381" s="11"/>
      <c r="K381" s="11"/>
      <c r="L381" s="11"/>
      <c r="M381" s="11"/>
      <c r="N381" s="11"/>
      <c r="O381" s="11">
        <v>68</v>
      </c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>
        <v>68</v>
      </c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>
        <v>68</v>
      </c>
      <c r="AO381" s="11"/>
      <c r="AP381" s="11"/>
      <c r="AQ381" s="11"/>
      <c r="AR381" s="11"/>
      <c r="AS381" s="11"/>
      <c r="AT381" s="20" t="str">
        <f>HYPERLINK("http://www.openstreetmap.org/?mlat=34.2972&amp;mlon=45.1713&amp;zoom=12#map=12/34.2972/45.1713","Maplink1")</f>
        <v>Maplink1</v>
      </c>
      <c r="AU381" s="20" t="str">
        <f>HYPERLINK("https://www.google.iq/maps/search/+34.2972,45.1713/@34.2972,45.1713,14z?hl=en","Maplink2")</f>
        <v>Maplink2</v>
      </c>
      <c r="AV381" s="20" t="str">
        <f>HYPERLINK("http://www.bing.com/maps/?lvl=14&amp;sty=h&amp;cp=34.2972~45.1713&amp;sp=point.34.2972_45.1713","Maplink3")</f>
        <v>Maplink3</v>
      </c>
    </row>
    <row r="382" spans="1:48" x14ac:dyDescent="0.25">
      <c r="A382" s="9">
        <v>10945</v>
      </c>
      <c r="B382" s="10" t="s">
        <v>13</v>
      </c>
      <c r="C382" s="10" t="s">
        <v>737</v>
      </c>
      <c r="D382" s="10" t="s">
        <v>825</v>
      </c>
      <c r="E382" s="10" t="s">
        <v>826</v>
      </c>
      <c r="F382" s="10">
        <v>34.257221999999999</v>
      </c>
      <c r="G382" s="10">
        <v>45.212221999999997</v>
      </c>
      <c r="H382" s="11">
        <v>72</v>
      </c>
      <c r="I382" s="11">
        <v>432</v>
      </c>
      <c r="J382" s="11"/>
      <c r="K382" s="11"/>
      <c r="L382" s="11"/>
      <c r="M382" s="11"/>
      <c r="N382" s="11"/>
      <c r="O382" s="11">
        <v>67</v>
      </c>
      <c r="P382" s="11"/>
      <c r="Q382" s="11"/>
      <c r="R382" s="11"/>
      <c r="S382" s="11"/>
      <c r="T382" s="11"/>
      <c r="U382" s="11"/>
      <c r="V382" s="11"/>
      <c r="W382" s="11"/>
      <c r="X382" s="11"/>
      <c r="Y382" s="11">
        <v>5</v>
      </c>
      <c r="Z382" s="11"/>
      <c r="AA382" s="11"/>
      <c r="AB382" s="11"/>
      <c r="AC382" s="11">
        <v>72</v>
      </c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>
        <v>32</v>
      </c>
      <c r="AO382" s="11">
        <v>40</v>
      </c>
      <c r="AP382" s="11"/>
      <c r="AQ382" s="11"/>
      <c r="AR382" s="11"/>
      <c r="AS382" s="11"/>
      <c r="AT382" s="20" t="str">
        <f>HYPERLINK("http://www.openstreetmap.org/?mlat=34.2572&amp;mlon=45.2122&amp;zoom=12#map=12/34.2572/45.2122","Maplink1")</f>
        <v>Maplink1</v>
      </c>
      <c r="AU382" s="20" t="str">
        <f>HYPERLINK("https://www.google.iq/maps/search/+34.2572,45.2122/@34.2572,45.2122,14z?hl=en","Maplink2")</f>
        <v>Maplink2</v>
      </c>
      <c r="AV382" s="20" t="str">
        <f>HYPERLINK("http://www.bing.com/maps/?lvl=14&amp;sty=h&amp;cp=34.2572~45.2122&amp;sp=point.34.2572_45.2122","Maplink3")</f>
        <v>Maplink3</v>
      </c>
    </row>
    <row r="383" spans="1:48" x14ac:dyDescent="0.25">
      <c r="A383" s="9">
        <v>25703</v>
      </c>
      <c r="B383" s="10" t="s">
        <v>13</v>
      </c>
      <c r="C383" s="10" t="s">
        <v>827</v>
      </c>
      <c r="D383" s="10" t="s">
        <v>828</v>
      </c>
      <c r="E383" s="10" t="s">
        <v>829</v>
      </c>
      <c r="F383" s="10">
        <v>34.4135016691</v>
      </c>
      <c r="G383" s="10">
        <v>44.926096925499998</v>
      </c>
      <c r="H383" s="11">
        <v>200</v>
      </c>
      <c r="I383" s="11">
        <v>1200</v>
      </c>
      <c r="J383" s="11"/>
      <c r="K383" s="11"/>
      <c r="L383" s="11"/>
      <c r="M383" s="11"/>
      <c r="N383" s="11"/>
      <c r="O383" s="11">
        <v>200</v>
      </c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>
        <v>200</v>
      </c>
      <c r="AL383" s="11"/>
      <c r="AM383" s="11"/>
      <c r="AN383" s="11"/>
      <c r="AO383" s="11"/>
      <c r="AP383" s="11">
        <v>200</v>
      </c>
      <c r="AQ383" s="11"/>
      <c r="AR383" s="11"/>
      <c r="AS383" s="11"/>
      <c r="AT383" s="20" t="str">
        <f>HYPERLINK("http://www.openstreetmap.org/?mlat=34.4135&amp;mlon=44.9261&amp;zoom=12#map=12/34.4135/44.9261","Maplink1")</f>
        <v>Maplink1</v>
      </c>
      <c r="AU383" s="20" t="str">
        <f>HYPERLINK("https://www.google.iq/maps/search/+34.4135,44.9261/@34.4135,44.9261,14z?hl=en","Maplink2")</f>
        <v>Maplink2</v>
      </c>
      <c r="AV383" s="20" t="str">
        <f>HYPERLINK("http://www.bing.com/maps/?lvl=14&amp;sty=h&amp;cp=34.4135~44.9261&amp;sp=point.34.4135_44.9261","Maplink3")</f>
        <v>Maplink3</v>
      </c>
    </row>
    <row r="384" spans="1:48" x14ac:dyDescent="0.25">
      <c r="A384" s="9">
        <v>11912</v>
      </c>
      <c r="B384" s="10" t="s">
        <v>14</v>
      </c>
      <c r="C384" s="10" t="s">
        <v>830</v>
      </c>
      <c r="D384" s="10" t="s">
        <v>831</v>
      </c>
      <c r="E384" s="10" t="s">
        <v>832</v>
      </c>
      <c r="F384" s="10">
        <v>36.110557999999997</v>
      </c>
      <c r="G384" s="10">
        <v>43.558101000000001</v>
      </c>
      <c r="H384" s="11">
        <v>491</v>
      </c>
      <c r="I384" s="11">
        <v>2946</v>
      </c>
      <c r="J384" s="11"/>
      <c r="K384" s="11"/>
      <c r="L384" s="11"/>
      <c r="M384" s="11"/>
      <c r="N384" s="11"/>
      <c r="O384" s="11"/>
      <c r="P384" s="11">
        <v>491</v>
      </c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>
        <v>491</v>
      </c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>
        <v>491</v>
      </c>
      <c r="AP384" s="11"/>
      <c r="AQ384" s="11"/>
      <c r="AR384" s="11"/>
      <c r="AS384" s="11"/>
      <c r="AT384" s="20" t="str">
        <f>HYPERLINK("http://www.openstreetmap.org/?mlat=36.1106&amp;mlon=43.5581&amp;zoom=12#map=12/36.1106/43.5581","Maplink1")</f>
        <v>Maplink1</v>
      </c>
      <c r="AU384" s="20" t="str">
        <f>HYPERLINK("https://www.google.iq/maps/search/+36.1106,43.5581/@36.1106,43.5581,14z?hl=en","Maplink2")</f>
        <v>Maplink2</v>
      </c>
      <c r="AV384" s="20" t="str">
        <f>HYPERLINK("http://www.bing.com/maps/?lvl=14&amp;sty=h&amp;cp=36.1106~43.5581&amp;sp=point.36.1106_43.5581","Maplink3")</f>
        <v>Maplink3</v>
      </c>
    </row>
    <row r="385" spans="1:48" x14ac:dyDescent="0.25">
      <c r="A385" s="9">
        <v>29522</v>
      </c>
      <c r="B385" s="10" t="s">
        <v>14</v>
      </c>
      <c r="C385" s="10" t="s">
        <v>830</v>
      </c>
      <c r="D385" s="10" t="s">
        <v>833</v>
      </c>
      <c r="E385" s="10" t="s">
        <v>834</v>
      </c>
      <c r="F385" s="10">
        <v>35.780508240000003</v>
      </c>
      <c r="G385" s="10">
        <v>43.594056129999998</v>
      </c>
      <c r="H385" s="11">
        <v>65</v>
      </c>
      <c r="I385" s="11">
        <v>390</v>
      </c>
      <c r="J385" s="11"/>
      <c r="K385" s="11"/>
      <c r="L385" s="11"/>
      <c r="M385" s="11"/>
      <c r="N385" s="11"/>
      <c r="O385" s="11"/>
      <c r="P385" s="11">
        <v>65</v>
      </c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>
        <v>65</v>
      </c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>
        <v>65</v>
      </c>
      <c r="AP385" s="11"/>
      <c r="AQ385" s="11"/>
      <c r="AR385" s="11"/>
      <c r="AS385" s="11"/>
      <c r="AT385" s="20" t="str">
        <f>HYPERLINK("http://www.openstreetmap.org/?mlat=35.7805&amp;mlon=43.5941&amp;zoom=12#map=12/35.7805/43.5941","Maplink1")</f>
        <v>Maplink1</v>
      </c>
      <c r="AU385" s="20" t="str">
        <f>HYPERLINK("https://www.google.iq/maps/search/+35.7805,43.5941/@35.7805,43.5941,14z?hl=en","Maplink2")</f>
        <v>Maplink2</v>
      </c>
      <c r="AV385" s="20" t="str">
        <f>HYPERLINK("http://www.bing.com/maps/?lvl=14&amp;sty=h&amp;cp=35.7805~43.5941&amp;sp=point.35.7805_43.5941","Maplink3")</f>
        <v>Maplink3</v>
      </c>
    </row>
    <row r="386" spans="1:48" x14ac:dyDescent="0.25">
      <c r="A386" s="9">
        <v>13500</v>
      </c>
      <c r="B386" s="10" t="s">
        <v>14</v>
      </c>
      <c r="C386" s="10" t="s">
        <v>830</v>
      </c>
      <c r="D386" s="10" t="s">
        <v>835</v>
      </c>
      <c r="E386" s="10" t="s">
        <v>836</v>
      </c>
      <c r="F386" s="10">
        <v>35.776267070000003</v>
      </c>
      <c r="G386" s="10">
        <v>43.582733640000001</v>
      </c>
      <c r="H386" s="11">
        <v>265</v>
      </c>
      <c r="I386" s="11">
        <v>1590</v>
      </c>
      <c r="J386" s="11"/>
      <c r="K386" s="11"/>
      <c r="L386" s="11"/>
      <c r="M386" s="11"/>
      <c r="N386" s="11"/>
      <c r="O386" s="11"/>
      <c r="P386" s="11">
        <v>265</v>
      </c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>
        <v>265</v>
      </c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>
        <v>265</v>
      </c>
      <c r="AP386" s="11"/>
      <c r="AQ386" s="11"/>
      <c r="AR386" s="11"/>
      <c r="AS386" s="11"/>
      <c r="AT386" s="20" t="str">
        <f>HYPERLINK("http://www.openstreetmap.org/?mlat=35.7763&amp;mlon=43.5827&amp;zoom=12#map=12/35.7763/43.5827","Maplink1")</f>
        <v>Maplink1</v>
      </c>
      <c r="AU386" s="20" t="str">
        <f>HYPERLINK("https://www.google.iq/maps/search/+35.7763,43.5827/@35.7763,43.5827,14z?hl=en","Maplink2")</f>
        <v>Maplink2</v>
      </c>
      <c r="AV386" s="20" t="str">
        <f>HYPERLINK("http://www.bing.com/maps/?lvl=14&amp;sty=h&amp;cp=35.7763~43.5827&amp;sp=point.35.7763_43.5827","Maplink3")</f>
        <v>Maplink3</v>
      </c>
    </row>
    <row r="387" spans="1:48" x14ac:dyDescent="0.25">
      <c r="A387" s="9">
        <v>13278</v>
      </c>
      <c r="B387" s="10" t="s">
        <v>14</v>
      </c>
      <c r="C387" s="10" t="s">
        <v>830</v>
      </c>
      <c r="D387" s="10" t="s">
        <v>837</v>
      </c>
      <c r="E387" s="10" t="s">
        <v>838</v>
      </c>
      <c r="F387" s="10">
        <v>35.826799999999999</v>
      </c>
      <c r="G387" s="10">
        <v>43.3887</v>
      </c>
      <c r="H387" s="11">
        <v>62</v>
      </c>
      <c r="I387" s="11">
        <v>372</v>
      </c>
      <c r="J387" s="11"/>
      <c r="K387" s="11"/>
      <c r="L387" s="11"/>
      <c r="M387" s="11"/>
      <c r="N387" s="11"/>
      <c r="O387" s="11"/>
      <c r="P387" s="11">
        <v>62</v>
      </c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>
        <v>62</v>
      </c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>
        <v>62</v>
      </c>
      <c r="AO387" s="11"/>
      <c r="AP387" s="11"/>
      <c r="AQ387" s="11"/>
      <c r="AR387" s="11"/>
      <c r="AS387" s="11"/>
      <c r="AT387" s="20" t="str">
        <f>HYPERLINK("http://www.openstreetmap.org/?mlat=35.8268&amp;mlon=43.3887&amp;zoom=12#map=12/35.8268/43.3887","Maplink1")</f>
        <v>Maplink1</v>
      </c>
      <c r="AU387" s="20" t="str">
        <f>HYPERLINK("https://www.google.iq/maps/search/+35.8268,43.3887/@35.8268,43.3887,14z?hl=en","Maplink2")</f>
        <v>Maplink2</v>
      </c>
      <c r="AV387" s="20" t="str">
        <f>HYPERLINK("http://www.bing.com/maps/?lvl=14&amp;sty=h&amp;cp=35.8268~43.3887&amp;sp=point.35.8268_43.3887","Maplink3")</f>
        <v>Maplink3</v>
      </c>
    </row>
    <row r="388" spans="1:48" x14ac:dyDescent="0.25">
      <c r="A388" s="9">
        <v>13357</v>
      </c>
      <c r="B388" s="10" t="s">
        <v>14</v>
      </c>
      <c r="C388" s="10" t="s">
        <v>830</v>
      </c>
      <c r="D388" s="10" t="s">
        <v>839</v>
      </c>
      <c r="E388" s="10" t="s">
        <v>840</v>
      </c>
      <c r="F388" s="10">
        <v>35.856200000000001</v>
      </c>
      <c r="G388" s="10">
        <v>43.378999999999998</v>
      </c>
      <c r="H388" s="11">
        <v>130</v>
      </c>
      <c r="I388" s="11">
        <v>780</v>
      </c>
      <c r="J388" s="11"/>
      <c r="K388" s="11"/>
      <c r="L388" s="11"/>
      <c r="M388" s="11"/>
      <c r="N388" s="11"/>
      <c r="O388" s="11"/>
      <c r="P388" s="11">
        <v>130</v>
      </c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>
        <v>130</v>
      </c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>
        <v>130</v>
      </c>
      <c r="AO388" s="11"/>
      <c r="AP388" s="11"/>
      <c r="AQ388" s="11"/>
      <c r="AR388" s="11"/>
      <c r="AS388" s="11"/>
      <c r="AT388" s="20" t="str">
        <f>HYPERLINK("http://www.openstreetmap.org/?mlat=35.8562&amp;mlon=43.379&amp;zoom=12#map=12/35.8562/43.379","Maplink1")</f>
        <v>Maplink1</v>
      </c>
      <c r="AU388" s="20" t="str">
        <f>HYPERLINK("https://www.google.iq/maps/search/+35.8562,43.379/@35.8562,43.379,14z?hl=en","Maplink2")</f>
        <v>Maplink2</v>
      </c>
      <c r="AV388" s="20" t="str">
        <f>HYPERLINK("http://www.bing.com/maps/?lvl=14&amp;sty=h&amp;cp=35.8562~43.379&amp;sp=point.35.8562_43.379","Maplink3")</f>
        <v>Maplink3</v>
      </c>
    </row>
    <row r="389" spans="1:48" x14ac:dyDescent="0.25">
      <c r="A389" s="9">
        <v>13502</v>
      </c>
      <c r="B389" s="10" t="s">
        <v>14</v>
      </c>
      <c r="C389" s="10" t="s">
        <v>830</v>
      </c>
      <c r="D389" s="10" t="s">
        <v>841</v>
      </c>
      <c r="E389" s="10" t="s">
        <v>842</v>
      </c>
      <c r="F389" s="10">
        <v>35.777571080000001</v>
      </c>
      <c r="G389" s="10">
        <v>43.575704250000001</v>
      </c>
      <c r="H389" s="11">
        <v>246</v>
      </c>
      <c r="I389" s="11">
        <v>1476</v>
      </c>
      <c r="J389" s="11"/>
      <c r="K389" s="11"/>
      <c r="L389" s="11"/>
      <c r="M389" s="11"/>
      <c r="N389" s="11"/>
      <c r="O389" s="11"/>
      <c r="P389" s="11">
        <v>246</v>
      </c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>
        <v>246</v>
      </c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>
        <v>246</v>
      </c>
      <c r="AP389" s="11"/>
      <c r="AQ389" s="11"/>
      <c r="AR389" s="11"/>
      <c r="AS389" s="11"/>
      <c r="AT389" s="20" t="str">
        <f>HYPERLINK("http://www.openstreetmap.org/?mlat=35.7776&amp;mlon=43.5757&amp;zoom=12#map=12/35.7776/43.5757","Maplink1")</f>
        <v>Maplink1</v>
      </c>
      <c r="AU389" s="20" t="str">
        <f>HYPERLINK("https://www.google.iq/maps/search/+35.7776,43.5757/@35.7776,43.5757,14z?hl=en","Maplink2")</f>
        <v>Maplink2</v>
      </c>
      <c r="AV389" s="20" t="str">
        <f>HYPERLINK("http://www.bing.com/maps/?lvl=14&amp;sty=h&amp;cp=35.7776~43.5757&amp;sp=point.35.7776_43.5757","Maplink3")</f>
        <v>Maplink3</v>
      </c>
    </row>
    <row r="390" spans="1:48" x14ac:dyDescent="0.25">
      <c r="A390" s="9">
        <v>12519</v>
      </c>
      <c r="B390" s="10" t="s">
        <v>14</v>
      </c>
      <c r="C390" s="10" t="s">
        <v>830</v>
      </c>
      <c r="D390" s="10" t="s">
        <v>843</v>
      </c>
      <c r="E390" s="10" t="s">
        <v>844</v>
      </c>
      <c r="F390" s="10">
        <v>35.762749847999999</v>
      </c>
      <c r="G390" s="10">
        <v>43.401144596100004</v>
      </c>
      <c r="H390" s="11">
        <v>21</v>
      </c>
      <c r="I390" s="11">
        <v>126</v>
      </c>
      <c r="J390" s="11"/>
      <c r="K390" s="11"/>
      <c r="L390" s="11"/>
      <c r="M390" s="11"/>
      <c r="N390" s="11"/>
      <c r="O390" s="11"/>
      <c r="P390" s="11">
        <v>21</v>
      </c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>
        <v>21</v>
      </c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>
        <v>21</v>
      </c>
      <c r="AO390" s="11"/>
      <c r="AP390" s="11"/>
      <c r="AQ390" s="11"/>
      <c r="AR390" s="11"/>
      <c r="AS390" s="11"/>
      <c r="AT390" s="20" t="str">
        <f>HYPERLINK("http://www.openstreetmap.org/?mlat=35.7627&amp;mlon=43.4011&amp;zoom=12#map=12/35.7627/43.4011","Maplink1")</f>
        <v>Maplink1</v>
      </c>
      <c r="AU390" s="20" t="str">
        <f>HYPERLINK("https://www.google.iq/maps/search/+35.7627,43.4011/@35.7627,43.4011,14z?hl=en","Maplink2")</f>
        <v>Maplink2</v>
      </c>
      <c r="AV390" s="20" t="str">
        <f>HYPERLINK("http://www.bing.com/maps/?lvl=14&amp;sty=h&amp;cp=35.7627~43.4011&amp;sp=point.35.7627_43.4011","Maplink3")</f>
        <v>Maplink3</v>
      </c>
    </row>
    <row r="391" spans="1:48" x14ac:dyDescent="0.25">
      <c r="A391" s="9">
        <v>13550</v>
      </c>
      <c r="B391" s="10" t="s">
        <v>14</v>
      </c>
      <c r="C391" s="10" t="s">
        <v>830</v>
      </c>
      <c r="D391" s="10" t="s">
        <v>845</v>
      </c>
      <c r="E391" s="10" t="s">
        <v>846</v>
      </c>
      <c r="F391" s="10">
        <v>35.783299999999997</v>
      </c>
      <c r="G391" s="10">
        <v>43.352499999999999</v>
      </c>
      <c r="H391" s="11">
        <v>170</v>
      </c>
      <c r="I391" s="11">
        <v>1020</v>
      </c>
      <c r="J391" s="11"/>
      <c r="K391" s="11"/>
      <c r="L391" s="11"/>
      <c r="M391" s="11"/>
      <c r="N391" s="11"/>
      <c r="O391" s="11"/>
      <c r="P391" s="11">
        <v>170</v>
      </c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>
        <v>170</v>
      </c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>
        <v>170</v>
      </c>
      <c r="AO391" s="11"/>
      <c r="AP391" s="11"/>
      <c r="AQ391" s="11"/>
      <c r="AR391" s="11"/>
      <c r="AS391" s="11"/>
      <c r="AT391" s="20" t="str">
        <f>HYPERLINK("http://www.openstreetmap.org/?mlat=35.7833&amp;mlon=43.3525&amp;zoom=12#map=12/35.7833/43.3525","Maplink1")</f>
        <v>Maplink1</v>
      </c>
      <c r="AU391" s="20" t="str">
        <f>HYPERLINK("https://www.google.iq/maps/search/+35.7833,43.3525/@35.7833,43.3525,14z?hl=en","Maplink2")</f>
        <v>Maplink2</v>
      </c>
      <c r="AV391" s="20" t="str">
        <f>HYPERLINK("http://www.bing.com/maps/?lvl=14&amp;sty=h&amp;cp=35.7833~43.3525&amp;sp=point.35.7833_43.3525","Maplink3")</f>
        <v>Maplink3</v>
      </c>
    </row>
    <row r="392" spans="1:48" x14ac:dyDescent="0.25">
      <c r="A392" s="9">
        <v>13361</v>
      </c>
      <c r="B392" s="10" t="s">
        <v>14</v>
      </c>
      <c r="C392" s="10" t="s">
        <v>830</v>
      </c>
      <c r="D392" s="10" t="s">
        <v>847</v>
      </c>
      <c r="E392" s="10" t="s">
        <v>848</v>
      </c>
      <c r="F392" s="10">
        <v>36.059150000000002</v>
      </c>
      <c r="G392" s="10">
        <v>43.507510000000003</v>
      </c>
      <c r="H392" s="11">
        <v>125</v>
      </c>
      <c r="I392" s="11">
        <v>750</v>
      </c>
      <c r="J392" s="11"/>
      <c r="K392" s="11"/>
      <c r="L392" s="11"/>
      <c r="M392" s="11"/>
      <c r="N392" s="11"/>
      <c r="O392" s="11"/>
      <c r="P392" s="11">
        <v>125</v>
      </c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>
        <v>125</v>
      </c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>
        <v>125</v>
      </c>
      <c r="AP392" s="11"/>
      <c r="AQ392" s="11"/>
      <c r="AR392" s="11"/>
      <c r="AS392" s="11"/>
      <c r="AT392" s="20" t="str">
        <f>HYPERLINK("http://www.openstreetmap.org/?mlat=36.0592&amp;mlon=43.5075&amp;zoom=12#map=12/36.0592/43.5075","Maplink1")</f>
        <v>Maplink1</v>
      </c>
      <c r="AU392" s="20" t="str">
        <f>HYPERLINK("https://www.google.iq/maps/search/+36.0592,43.5075/@36.0592,43.5075,14z?hl=en","Maplink2")</f>
        <v>Maplink2</v>
      </c>
      <c r="AV392" s="20" t="str">
        <f>HYPERLINK("http://www.bing.com/maps/?lvl=14&amp;sty=h&amp;cp=36.0592~43.5075&amp;sp=point.36.0592_43.5075","Maplink3")</f>
        <v>Maplink3</v>
      </c>
    </row>
    <row r="393" spans="1:48" x14ac:dyDescent="0.25">
      <c r="A393" s="9">
        <v>12494</v>
      </c>
      <c r="B393" s="10" t="s">
        <v>14</v>
      </c>
      <c r="C393" s="10" t="s">
        <v>830</v>
      </c>
      <c r="D393" s="10" t="s">
        <v>849</v>
      </c>
      <c r="E393" s="10" t="s">
        <v>850</v>
      </c>
      <c r="F393" s="10">
        <v>35.826599102000003</v>
      </c>
      <c r="G393" s="10">
        <v>43.379307270799998</v>
      </c>
      <c r="H393" s="11">
        <v>165</v>
      </c>
      <c r="I393" s="11">
        <v>990</v>
      </c>
      <c r="J393" s="11"/>
      <c r="K393" s="11"/>
      <c r="L393" s="11"/>
      <c r="M393" s="11"/>
      <c r="N393" s="11"/>
      <c r="O393" s="11"/>
      <c r="P393" s="11">
        <v>165</v>
      </c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>
        <v>165</v>
      </c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>
        <v>165</v>
      </c>
      <c r="AO393" s="11"/>
      <c r="AP393" s="11"/>
      <c r="AQ393" s="11"/>
      <c r="AR393" s="11"/>
      <c r="AS393" s="11"/>
      <c r="AT393" s="20" t="str">
        <f>HYPERLINK("http://www.openstreetmap.org/?mlat=35.8266&amp;mlon=43.3793&amp;zoom=12#map=12/35.8266/43.3793","Maplink1")</f>
        <v>Maplink1</v>
      </c>
      <c r="AU393" s="20" t="str">
        <f>HYPERLINK("https://www.google.iq/maps/search/+35.8266,43.3793/@35.8266,43.3793,14z?hl=en","Maplink2")</f>
        <v>Maplink2</v>
      </c>
      <c r="AV393" s="20" t="str">
        <f>HYPERLINK("http://www.bing.com/maps/?lvl=14&amp;sty=h&amp;cp=35.8266~43.3793&amp;sp=point.35.8266_43.3793","Maplink3")</f>
        <v>Maplink3</v>
      </c>
    </row>
    <row r="394" spans="1:48" x14ac:dyDescent="0.25">
      <c r="A394" s="9">
        <v>13501</v>
      </c>
      <c r="B394" s="10" t="s">
        <v>14</v>
      </c>
      <c r="C394" s="10" t="s">
        <v>830</v>
      </c>
      <c r="D394" s="10" t="s">
        <v>851</v>
      </c>
      <c r="E394" s="10" t="s">
        <v>852</v>
      </c>
      <c r="F394" s="10">
        <v>35.767175770000001</v>
      </c>
      <c r="G394" s="10">
        <v>43.577763150000003</v>
      </c>
      <c r="H394" s="11">
        <v>280</v>
      </c>
      <c r="I394" s="11">
        <v>1680</v>
      </c>
      <c r="J394" s="11"/>
      <c r="K394" s="11"/>
      <c r="L394" s="11"/>
      <c r="M394" s="11"/>
      <c r="N394" s="11"/>
      <c r="O394" s="11"/>
      <c r="P394" s="11">
        <v>280</v>
      </c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>
        <v>280</v>
      </c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>
        <v>280</v>
      </c>
      <c r="AP394" s="11"/>
      <c r="AQ394" s="11"/>
      <c r="AR394" s="11"/>
      <c r="AS394" s="11"/>
      <c r="AT394" s="20" t="str">
        <f>HYPERLINK("http://www.openstreetmap.org/?mlat=35.7672&amp;mlon=43.5778&amp;zoom=12#map=12/35.7672/43.5778","Maplink1")</f>
        <v>Maplink1</v>
      </c>
      <c r="AU394" s="20" t="str">
        <f>HYPERLINK("https://www.google.iq/maps/search/+35.7672,43.5778/@35.7672,43.5778,14z?hl=en","Maplink2")</f>
        <v>Maplink2</v>
      </c>
      <c r="AV394" s="20" t="str">
        <f>HYPERLINK("http://www.bing.com/maps/?lvl=14&amp;sty=h&amp;cp=35.7672~43.5778&amp;sp=point.35.7672_43.5778","Maplink3")</f>
        <v>Maplink3</v>
      </c>
    </row>
    <row r="395" spans="1:48" x14ac:dyDescent="0.25">
      <c r="A395" s="9">
        <v>12531</v>
      </c>
      <c r="B395" s="10" t="s">
        <v>14</v>
      </c>
      <c r="C395" s="10" t="s">
        <v>830</v>
      </c>
      <c r="D395" s="10" t="s">
        <v>853</v>
      </c>
      <c r="E395" s="10" t="s">
        <v>854</v>
      </c>
      <c r="F395" s="10">
        <v>35.769199999999998</v>
      </c>
      <c r="G395" s="10">
        <v>43.363999999999997</v>
      </c>
      <c r="H395" s="11">
        <v>180</v>
      </c>
      <c r="I395" s="11">
        <v>1080</v>
      </c>
      <c r="J395" s="11"/>
      <c r="K395" s="11"/>
      <c r="L395" s="11"/>
      <c r="M395" s="11"/>
      <c r="N395" s="11"/>
      <c r="O395" s="11"/>
      <c r="P395" s="11">
        <v>180</v>
      </c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>
        <v>180</v>
      </c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>
        <v>180</v>
      </c>
      <c r="AO395" s="11"/>
      <c r="AP395" s="11"/>
      <c r="AQ395" s="11"/>
      <c r="AR395" s="11"/>
      <c r="AS395" s="11"/>
      <c r="AT395" s="20" t="str">
        <f>HYPERLINK("http://www.openstreetmap.org/?mlat=35.7692&amp;mlon=43.364&amp;zoom=12#map=12/35.7692/43.364","Maplink1")</f>
        <v>Maplink1</v>
      </c>
      <c r="AU395" s="20" t="str">
        <f>HYPERLINK("https://www.google.iq/maps/search/+35.7692,43.364/@35.7692,43.364,14z?hl=en","Maplink2")</f>
        <v>Maplink2</v>
      </c>
      <c r="AV395" s="20" t="str">
        <f>HYPERLINK("http://www.bing.com/maps/?lvl=14&amp;sty=h&amp;cp=35.7692~43.364&amp;sp=point.35.7692_43.364","Maplink3")</f>
        <v>Maplink3</v>
      </c>
    </row>
    <row r="396" spans="1:48" x14ac:dyDescent="0.25">
      <c r="A396" s="9">
        <v>13352</v>
      </c>
      <c r="B396" s="10" t="s">
        <v>14</v>
      </c>
      <c r="C396" s="10" t="s">
        <v>830</v>
      </c>
      <c r="D396" s="10" t="s">
        <v>855</v>
      </c>
      <c r="E396" s="10" t="s">
        <v>856</v>
      </c>
      <c r="F396" s="10">
        <v>36.043816</v>
      </c>
      <c r="G396" s="10">
        <v>43.497729999999997</v>
      </c>
      <c r="H396" s="11">
        <v>1280</v>
      </c>
      <c r="I396" s="11">
        <v>7680</v>
      </c>
      <c r="J396" s="11"/>
      <c r="K396" s="11"/>
      <c r="L396" s="11"/>
      <c r="M396" s="11"/>
      <c r="N396" s="11"/>
      <c r="O396" s="11"/>
      <c r="P396" s="11">
        <v>1280</v>
      </c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>
        <v>1280</v>
      </c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>
        <v>1280</v>
      </c>
      <c r="AP396" s="11"/>
      <c r="AQ396" s="11"/>
      <c r="AR396" s="11"/>
      <c r="AS396" s="11"/>
      <c r="AT396" s="20" t="str">
        <f>HYPERLINK("http://www.openstreetmap.org/?mlat=36.0438&amp;mlon=43.4977&amp;zoom=12#map=12/36.0438/43.4977","Maplink1")</f>
        <v>Maplink1</v>
      </c>
      <c r="AU396" s="20" t="str">
        <f>HYPERLINK("https://www.google.iq/maps/search/+36.0438,43.4977/@36.0438,43.4977,14z?hl=en","Maplink2")</f>
        <v>Maplink2</v>
      </c>
      <c r="AV396" s="20" t="str">
        <f>HYPERLINK("http://www.bing.com/maps/?lvl=14&amp;sty=h&amp;cp=36.0438~43.4977&amp;sp=point.36.0438_43.4977","Maplink3")</f>
        <v>Maplink3</v>
      </c>
    </row>
    <row r="397" spans="1:48" x14ac:dyDescent="0.25">
      <c r="A397" s="9">
        <v>22976</v>
      </c>
      <c r="B397" s="10" t="s">
        <v>14</v>
      </c>
      <c r="C397" s="10" t="s">
        <v>830</v>
      </c>
      <c r="D397" s="10" t="s">
        <v>857</v>
      </c>
      <c r="E397" s="10" t="s">
        <v>858</v>
      </c>
      <c r="F397" s="10">
        <v>35.777312680000001</v>
      </c>
      <c r="G397" s="10">
        <v>43.57313731</v>
      </c>
      <c r="H397" s="11">
        <v>387</v>
      </c>
      <c r="I397" s="11">
        <v>2322</v>
      </c>
      <c r="J397" s="11"/>
      <c r="K397" s="11"/>
      <c r="L397" s="11"/>
      <c r="M397" s="11"/>
      <c r="N397" s="11"/>
      <c r="O397" s="11"/>
      <c r="P397" s="11">
        <v>387</v>
      </c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>
        <v>387</v>
      </c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>
        <v>387</v>
      </c>
      <c r="AP397" s="11"/>
      <c r="AQ397" s="11"/>
      <c r="AR397" s="11"/>
      <c r="AS397" s="11"/>
      <c r="AT397" s="20" t="str">
        <f>HYPERLINK("http://www.openstreetmap.org/?mlat=35.7773&amp;mlon=43.5731&amp;zoom=12#map=12/35.7773/43.5731","Maplink1")</f>
        <v>Maplink1</v>
      </c>
      <c r="AU397" s="20" t="str">
        <f>HYPERLINK("https://www.google.iq/maps/search/+35.7773,43.5731/@35.7773,43.5731,14z?hl=en","Maplink2")</f>
        <v>Maplink2</v>
      </c>
      <c r="AV397" s="20" t="str">
        <f>HYPERLINK("http://www.bing.com/maps/?lvl=14&amp;sty=h&amp;cp=35.7773~43.5731&amp;sp=point.35.7773_43.5731","Maplink3")</f>
        <v>Maplink3</v>
      </c>
    </row>
    <row r="398" spans="1:48" x14ac:dyDescent="0.25">
      <c r="A398" s="9">
        <v>13561</v>
      </c>
      <c r="B398" s="10" t="s">
        <v>14</v>
      </c>
      <c r="C398" s="10" t="s">
        <v>830</v>
      </c>
      <c r="D398" s="10" t="s">
        <v>859</v>
      </c>
      <c r="E398" s="10" t="s">
        <v>860</v>
      </c>
      <c r="F398" s="10">
        <v>35.835299999999997</v>
      </c>
      <c r="G398" s="10">
        <v>43.344799999999999</v>
      </c>
      <c r="H398" s="11">
        <v>260</v>
      </c>
      <c r="I398" s="11">
        <v>1560</v>
      </c>
      <c r="J398" s="11"/>
      <c r="K398" s="11"/>
      <c r="L398" s="11"/>
      <c r="M398" s="11"/>
      <c r="N398" s="11"/>
      <c r="O398" s="11"/>
      <c r="P398" s="11">
        <v>260</v>
      </c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>
        <v>260</v>
      </c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>
        <v>260</v>
      </c>
      <c r="AO398" s="11"/>
      <c r="AP398" s="11"/>
      <c r="AQ398" s="11"/>
      <c r="AR398" s="11"/>
      <c r="AS398" s="11"/>
      <c r="AT398" s="20" t="str">
        <f>HYPERLINK("http://www.openstreetmap.org/?mlat=35.8353&amp;mlon=43.3448&amp;zoom=12#map=12/35.8353/43.3448","Maplink1")</f>
        <v>Maplink1</v>
      </c>
      <c r="AU398" s="20" t="str">
        <f>HYPERLINK("https://www.google.iq/maps/search/+35.8353,43.3448/@35.8353,43.3448,14z?hl=en","Maplink2")</f>
        <v>Maplink2</v>
      </c>
      <c r="AV398" s="20" t="str">
        <f>HYPERLINK("http://www.bing.com/maps/?lvl=14&amp;sty=h&amp;cp=35.8353~43.3448&amp;sp=point.35.8353_43.3448","Maplink3")</f>
        <v>Maplink3</v>
      </c>
    </row>
    <row r="399" spans="1:48" x14ac:dyDescent="0.25">
      <c r="A399" s="9">
        <v>13275</v>
      </c>
      <c r="B399" s="10" t="s">
        <v>14</v>
      </c>
      <c r="C399" s="10" t="s">
        <v>830</v>
      </c>
      <c r="D399" s="10" t="s">
        <v>861</v>
      </c>
      <c r="E399" s="10" t="s">
        <v>862</v>
      </c>
      <c r="F399" s="10">
        <v>35.833599999999997</v>
      </c>
      <c r="G399" s="10">
        <v>43.390999999999998</v>
      </c>
      <c r="H399" s="11">
        <v>180</v>
      </c>
      <c r="I399" s="11">
        <v>1080</v>
      </c>
      <c r="J399" s="11"/>
      <c r="K399" s="11"/>
      <c r="L399" s="11"/>
      <c r="M399" s="11"/>
      <c r="N399" s="11"/>
      <c r="O399" s="11"/>
      <c r="P399" s="11">
        <v>180</v>
      </c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>
        <v>180</v>
      </c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>
        <v>180</v>
      </c>
      <c r="AO399" s="11"/>
      <c r="AP399" s="11"/>
      <c r="AQ399" s="11"/>
      <c r="AR399" s="11"/>
      <c r="AS399" s="11"/>
      <c r="AT399" s="20" t="str">
        <f>HYPERLINK("http://www.openstreetmap.org/?mlat=35.8336&amp;mlon=43.391&amp;zoom=12#map=12/35.8336/43.391","Maplink1")</f>
        <v>Maplink1</v>
      </c>
      <c r="AU399" s="20" t="str">
        <f>HYPERLINK("https://www.google.iq/maps/search/+35.8336,43.391/@35.8336,43.391,14z?hl=en","Maplink2")</f>
        <v>Maplink2</v>
      </c>
      <c r="AV399" s="20" t="str">
        <f>HYPERLINK("http://www.bing.com/maps/?lvl=14&amp;sty=h&amp;cp=35.8336~43.391&amp;sp=point.35.8336_43.391","Maplink3")</f>
        <v>Maplink3</v>
      </c>
    </row>
    <row r="400" spans="1:48" x14ac:dyDescent="0.25">
      <c r="A400" s="9">
        <v>27244</v>
      </c>
      <c r="B400" s="10" t="s">
        <v>14</v>
      </c>
      <c r="C400" s="10" t="s">
        <v>830</v>
      </c>
      <c r="D400" s="10" t="s">
        <v>863</v>
      </c>
      <c r="E400" s="10" t="s">
        <v>864</v>
      </c>
      <c r="F400" s="10">
        <v>35.775451429999997</v>
      </c>
      <c r="G400" s="10">
        <v>43.578466380000002</v>
      </c>
      <c r="H400" s="11">
        <v>221</v>
      </c>
      <c r="I400" s="11">
        <v>1326</v>
      </c>
      <c r="J400" s="11"/>
      <c r="K400" s="11"/>
      <c r="L400" s="11"/>
      <c r="M400" s="11"/>
      <c r="N400" s="11"/>
      <c r="O400" s="11"/>
      <c r="P400" s="11">
        <v>221</v>
      </c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>
        <v>221</v>
      </c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>
        <v>221</v>
      </c>
      <c r="AP400" s="11"/>
      <c r="AQ400" s="11"/>
      <c r="AR400" s="11"/>
      <c r="AS400" s="11"/>
      <c r="AT400" s="20" t="str">
        <f>HYPERLINK("http://www.openstreetmap.org/?mlat=35.7755&amp;mlon=43.5785&amp;zoom=12#map=12/35.7755/43.5785","Maplink1")</f>
        <v>Maplink1</v>
      </c>
      <c r="AU400" s="20" t="str">
        <f>HYPERLINK("https://www.google.iq/maps/search/+35.7755,43.5785/@35.7755,43.5785,14z?hl=en","Maplink2")</f>
        <v>Maplink2</v>
      </c>
      <c r="AV400" s="20" t="str">
        <f>HYPERLINK("http://www.bing.com/maps/?lvl=14&amp;sty=h&amp;cp=35.7755~43.5785&amp;sp=point.35.7755_43.5785","Maplink3")</f>
        <v>Maplink3</v>
      </c>
    </row>
    <row r="401" spans="1:48" x14ac:dyDescent="0.25">
      <c r="A401" s="9">
        <v>13674</v>
      </c>
      <c r="B401" s="10" t="s">
        <v>14</v>
      </c>
      <c r="C401" s="10" t="s">
        <v>830</v>
      </c>
      <c r="D401" s="10" t="s">
        <v>865</v>
      </c>
      <c r="E401" s="10" t="s">
        <v>866</v>
      </c>
      <c r="F401" s="10">
        <v>35.780755890000002</v>
      </c>
      <c r="G401" s="10">
        <v>43.585042340000001</v>
      </c>
      <c r="H401" s="11">
        <v>525</v>
      </c>
      <c r="I401" s="11">
        <v>3150</v>
      </c>
      <c r="J401" s="11"/>
      <c r="K401" s="11"/>
      <c r="L401" s="11"/>
      <c r="M401" s="11"/>
      <c r="N401" s="11"/>
      <c r="O401" s="11"/>
      <c r="P401" s="11">
        <v>525</v>
      </c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>
        <v>525</v>
      </c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>
        <v>525</v>
      </c>
      <c r="AP401" s="11"/>
      <c r="AQ401" s="11"/>
      <c r="AR401" s="11"/>
      <c r="AS401" s="11"/>
      <c r="AT401" s="20" t="str">
        <f>HYPERLINK("http://www.openstreetmap.org/?mlat=35.7808&amp;mlon=43.585&amp;zoom=12#map=12/35.7808/43.585","Maplink1")</f>
        <v>Maplink1</v>
      </c>
      <c r="AU401" s="20" t="str">
        <f>HYPERLINK("https://www.google.iq/maps/search/+35.7808,43.585/@35.7808,43.585,14z?hl=en","Maplink2")</f>
        <v>Maplink2</v>
      </c>
      <c r="AV401" s="20" t="str">
        <f>HYPERLINK("http://www.bing.com/maps/?lvl=14&amp;sty=h&amp;cp=35.7808~43.585&amp;sp=point.35.7808_43.585","Maplink3")</f>
        <v>Maplink3</v>
      </c>
    </row>
    <row r="402" spans="1:48" x14ac:dyDescent="0.25">
      <c r="A402" s="9">
        <v>13675</v>
      </c>
      <c r="B402" s="10" t="s">
        <v>14</v>
      </c>
      <c r="C402" s="10" t="s">
        <v>830</v>
      </c>
      <c r="D402" s="10" t="s">
        <v>867</v>
      </c>
      <c r="E402" s="10" t="s">
        <v>868</v>
      </c>
      <c r="F402" s="10">
        <v>35.775642910000002</v>
      </c>
      <c r="G402" s="10">
        <v>43.580938779999997</v>
      </c>
      <c r="H402" s="11">
        <v>660</v>
      </c>
      <c r="I402" s="11">
        <v>3960</v>
      </c>
      <c r="J402" s="11"/>
      <c r="K402" s="11"/>
      <c r="L402" s="11"/>
      <c r="M402" s="11"/>
      <c r="N402" s="11"/>
      <c r="O402" s="11"/>
      <c r="P402" s="11">
        <v>660</v>
      </c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>
        <v>660</v>
      </c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>
        <v>660</v>
      </c>
      <c r="AP402" s="11"/>
      <c r="AQ402" s="11"/>
      <c r="AR402" s="11"/>
      <c r="AS402" s="11"/>
      <c r="AT402" s="20" t="str">
        <f>HYPERLINK("http://www.openstreetmap.org/?mlat=35.7756&amp;mlon=43.5809&amp;zoom=12#map=12/35.7756/43.5809","Maplink1")</f>
        <v>Maplink1</v>
      </c>
      <c r="AU402" s="20" t="str">
        <f>HYPERLINK("https://www.google.iq/maps/search/+35.7756,43.5809/@35.7756,43.5809,14z?hl=en","Maplink2")</f>
        <v>Maplink2</v>
      </c>
      <c r="AV402" s="20" t="str">
        <f>HYPERLINK("http://www.bing.com/maps/?lvl=14&amp;sty=h&amp;cp=35.7756~43.5809&amp;sp=point.35.7756_43.5809","Maplink3")</f>
        <v>Maplink3</v>
      </c>
    </row>
    <row r="403" spans="1:48" x14ac:dyDescent="0.25">
      <c r="A403" s="9">
        <v>15173</v>
      </c>
      <c r="B403" s="10" t="s">
        <v>16</v>
      </c>
      <c r="C403" s="10" t="s">
        <v>869</v>
      </c>
      <c r="D403" s="10" t="s">
        <v>870</v>
      </c>
      <c r="E403" s="10" t="s">
        <v>871</v>
      </c>
      <c r="F403" s="10">
        <v>35.243198999999997</v>
      </c>
      <c r="G403" s="10">
        <v>44.279586999999999</v>
      </c>
      <c r="H403" s="11">
        <v>85</v>
      </c>
      <c r="I403" s="11">
        <v>510</v>
      </c>
      <c r="J403" s="11"/>
      <c r="K403" s="11"/>
      <c r="L403" s="11"/>
      <c r="M403" s="11"/>
      <c r="N403" s="11"/>
      <c r="O403" s="11"/>
      <c r="P403" s="11"/>
      <c r="Q403" s="11"/>
      <c r="R403" s="11">
        <v>85</v>
      </c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>
        <v>85</v>
      </c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>
        <v>85</v>
      </c>
      <c r="AO403" s="11"/>
      <c r="AP403" s="11"/>
      <c r="AQ403" s="11"/>
      <c r="AR403" s="11"/>
      <c r="AS403" s="11"/>
      <c r="AT403" s="20" t="str">
        <f>HYPERLINK("http://www.openstreetmap.org/?mlat=35.2432&amp;mlon=44.2796&amp;zoom=12#map=12/35.2432/44.2796","Maplink1")</f>
        <v>Maplink1</v>
      </c>
      <c r="AU403" s="20" t="str">
        <f>HYPERLINK("https://www.google.iq/maps/search/+35.2432,44.2796/@35.2432,44.2796,14z?hl=en","Maplink2")</f>
        <v>Maplink2</v>
      </c>
      <c r="AV403" s="20" t="str">
        <f>HYPERLINK("http://www.bing.com/maps/?lvl=14&amp;sty=h&amp;cp=35.2432~44.2796&amp;sp=point.35.2432_44.2796","Maplink3")</f>
        <v>Maplink3</v>
      </c>
    </row>
    <row r="404" spans="1:48" x14ac:dyDescent="0.25">
      <c r="A404" s="9">
        <v>29631</v>
      </c>
      <c r="B404" s="10" t="s">
        <v>16</v>
      </c>
      <c r="C404" s="10" t="s">
        <v>869</v>
      </c>
      <c r="D404" s="10" t="s">
        <v>872</v>
      </c>
      <c r="E404" s="10" t="s">
        <v>873</v>
      </c>
      <c r="F404" s="10">
        <v>35.066887999999999</v>
      </c>
      <c r="G404" s="10">
        <v>44.388860000000001</v>
      </c>
      <c r="H404" s="11">
        <v>81</v>
      </c>
      <c r="I404" s="11">
        <v>486</v>
      </c>
      <c r="J404" s="11"/>
      <c r="K404" s="11"/>
      <c r="L404" s="11"/>
      <c r="M404" s="11"/>
      <c r="N404" s="11"/>
      <c r="O404" s="11"/>
      <c r="P404" s="11"/>
      <c r="Q404" s="11"/>
      <c r="R404" s="11">
        <v>81</v>
      </c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>
        <v>81</v>
      </c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>
        <v>81</v>
      </c>
      <c r="AQ404" s="11"/>
      <c r="AR404" s="11"/>
      <c r="AS404" s="11"/>
      <c r="AT404" s="20" t="str">
        <f>HYPERLINK("http://www.openstreetmap.org/?mlat=35.0669&amp;mlon=44.3889&amp;zoom=12#map=12/35.0669/44.3889","Maplink1")</f>
        <v>Maplink1</v>
      </c>
      <c r="AU404" s="20" t="str">
        <f>HYPERLINK("https://www.google.iq/maps/search/+35.0669,44.3889/@35.0669,44.3889,14z?hl=en","Maplink2")</f>
        <v>Maplink2</v>
      </c>
      <c r="AV404" s="20" t="str">
        <f>HYPERLINK("http://www.bing.com/maps/?lvl=14&amp;sty=h&amp;cp=35.0669~44.3889&amp;sp=point.35.0669_44.3889","Maplink3")</f>
        <v>Maplink3</v>
      </c>
    </row>
    <row r="405" spans="1:48" x14ac:dyDescent="0.25">
      <c r="A405" s="9">
        <v>15363</v>
      </c>
      <c r="B405" s="10" t="s">
        <v>16</v>
      </c>
      <c r="C405" s="10" t="s">
        <v>16</v>
      </c>
      <c r="D405" s="10" t="s">
        <v>874</v>
      </c>
      <c r="E405" s="10" t="s">
        <v>875</v>
      </c>
      <c r="F405" s="10">
        <v>35.472867999999998</v>
      </c>
      <c r="G405" s="10">
        <v>44.146172999999997</v>
      </c>
      <c r="H405" s="11">
        <v>78</v>
      </c>
      <c r="I405" s="11">
        <v>468</v>
      </c>
      <c r="J405" s="11"/>
      <c r="K405" s="11"/>
      <c r="L405" s="11"/>
      <c r="M405" s="11"/>
      <c r="N405" s="11"/>
      <c r="O405" s="11"/>
      <c r="P405" s="11"/>
      <c r="Q405" s="11"/>
      <c r="R405" s="11">
        <v>78</v>
      </c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>
        <v>60</v>
      </c>
      <c r="AD405" s="11">
        <v>18</v>
      </c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>
        <v>78</v>
      </c>
      <c r="AQ405" s="11"/>
      <c r="AR405" s="11"/>
      <c r="AS405" s="11"/>
      <c r="AT405" s="20" t="str">
        <f>HYPERLINK("http://www.openstreetmap.org/?mlat=35.4729&amp;mlon=44.1462&amp;zoom=12#map=12/35.4729/44.1462","Maplink1")</f>
        <v>Maplink1</v>
      </c>
      <c r="AU405" s="20" t="str">
        <f>HYPERLINK("https://www.google.iq/maps/search/+35.4729,44.1462/@35.4729,44.1462,14z?hl=en","Maplink2")</f>
        <v>Maplink2</v>
      </c>
      <c r="AV405" s="20" t="str">
        <f>HYPERLINK("http://www.bing.com/maps/?lvl=14&amp;sty=h&amp;cp=35.4729~44.1462&amp;sp=point.35.4729_44.1462","Maplink3")</f>
        <v>Maplink3</v>
      </c>
    </row>
    <row r="406" spans="1:48" x14ac:dyDescent="0.25">
      <c r="A406" s="9">
        <v>25708</v>
      </c>
      <c r="B406" s="10" t="s">
        <v>16</v>
      </c>
      <c r="C406" s="10" t="s">
        <v>16</v>
      </c>
      <c r="D406" s="10" t="s">
        <v>876</v>
      </c>
      <c r="E406" s="10" t="s">
        <v>877</v>
      </c>
      <c r="F406" s="10">
        <v>35.455242565399999</v>
      </c>
      <c r="G406" s="10">
        <v>44.173804480199998</v>
      </c>
      <c r="H406" s="11">
        <v>85</v>
      </c>
      <c r="I406" s="11">
        <v>510</v>
      </c>
      <c r="J406" s="11"/>
      <c r="K406" s="11"/>
      <c r="L406" s="11"/>
      <c r="M406" s="11"/>
      <c r="N406" s="11"/>
      <c r="O406" s="11"/>
      <c r="P406" s="11"/>
      <c r="Q406" s="11"/>
      <c r="R406" s="11">
        <v>85</v>
      </c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>
        <v>70</v>
      </c>
      <c r="AD406" s="11">
        <v>15</v>
      </c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>
        <v>85</v>
      </c>
      <c r="AQ406" s="11"/>
      <c r="AR406" s="11"/>
      <c r="AS406" s="11"/>
      <c r="AT406" s="20" t="str">
        <f>HYPERLINK("http://www.openstreetmap.org/?mlat=35.4552&amp;mlon=44.1738&amp;zoom=12#map=12/35.4552/44.1738","Maplink1")</f>
        <v>Maplink1</v>
      </c>
      <c r="AU406" s="20" t="str">
        <f>HYPERLINK("https://www.google.iq/maps/search/+35.4552,44.1738/@35.4552,44.1738,14z?hl=en","Maplink2")</f>
        <v>Maplink2</v>
      </c>
      <c r="AV406" s="20" t="str">
        <f>HYPERLINK("http://www.bing.com/maps/?lvl=14&amp;sty=h&amp;cp=35.4552~44.1738&amp;sp=point.35.4552_44.1738","Maplink3")</f>
        <v>Maplink3</v>
      </c>
    </row>
    <row r="407" spans="1:48" x14ac:dyDescent="0.25">
      <c r="A407" s="9">
        <v>14520</v>
      </c>
      <c r="B407" s="10" t="s">
        <v>16</v>
      </c>
      <c r="C407" s="10" t="s">
        <v>16</v>
      </c>
      <c r="D407" s="10" t="s">
        <v>878</v>
      </c>
      <c r="E407" s="10" t="s">
        <v>879</v>
      </c>
      <c r="F407" s="10">
        <v>35.489559999999997</v>
      </c>
      <c r="G407" s="10">
        <v>44.161169999999998</v>
      </c>
      <c r="H407" s="11">
        <v>120</v>
      </c>
      <c r="I407" s="11">
        <v>720</v>
      </c>
      <c r="J407" s="11"/>
      <c r="K407" s="11"/>
      <c r="L407" s="11"/>
      <c r="M407" s="11"/>
      <c r="N407" s="11"/>
      <c r="O407" s="11"/>
      <c r="P407" s="11"/>
      <c r="Q407" s="11"/>
      <c r="R407" s="11">
        <v>120</v>
      </c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>
        <v>100</v>
      </c>
      <c r="AD407" s="11">
        <v>20</v>
      </c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>
        <v>120</v>
      </c>
      <c r="AQ407" s="11"/>
      <c r="AR407" s="11"/>
      <c r="AS407" s="11"/>
      <c r="AT407" s="20" t="str">
        <f>HYPERLINK("http://www.openstreetmap.org/?mlat=35.4896&amp;mlon=44.1612&amp;zoom=12#map=12/35.4896/44.1612","Maplink1")</f>
        <v>Maplink1</v>
      </c>
      <c r="AU407" s="20" t="str">
        <f>HYPERLINK("https://www.google.iq/maps/search/+35.4896,44.1612/@35.4896,44.1612,14z?hl=en","Maplink2")</f>
        <v>Maplink2</v>
      </c>
      <c r="AV407" s="20" t="str">
        <f>HYPERLINK("http://www.bing.com/maps/?lvl=14&amp;sty=h&amp;cp=35.4896~44.1612&amp;sp=point.35.4896_44.1612","Maplink3")</f>
        <v>Maplink3</v>
      </c>
    </row>
    <row r="408" spans="1:48" x14ac:dyDescent="0.25">
      <c r="A408" s="9">
        <v>29483</v>
      </c>
      <c r="B408" s="10" t="s">
        <v>16</v>
      </c>
      <c r="C408" s="10" t="s">
        <v>16</v>
      </c>
      <c r="D408" s="10" t="s">
        <v>880</v>
      </c>
      <c r="E408" s="10" t="s">
        <v>881</v>
      </c>
      <c r="F408" s="10">
        <v>35.464869999999998</v>
      </c>
      <c r="G408" s="10">
        <v>44.130189999999999</v>
      </c>
      <c r="H408" s="11">
        <v>130</v>
      </c>
      <c r="I408" s="11">
        <v>780</v>
      </c>
      <c r="J408" s="11"/>
      <c r="K408" s="11"/>
      <c r="L408" s="11"/>
      <c r="M408" s="11"/>
      <c r="N408" s="11"/>
      <c r="O408" s="11"/>
      <c r="P408" s="11"/>
      <c r="Q408" s="11"/>
      <c r="R408" s="11">
        <v>130</v>
      </c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>
        <v>105</v>
      </c>
      <c r="AD408" s="11">
        <v>25</v>
      </c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>
        <v>130</v>
      </c>
      <c r="AQ408" s="11"/>
      <c r="AR408" s="11"/>
      <c r="AS408" s="11"/>
      <c r="AT408" s="20" t="str">
        <f>HYPERLINK("http://www.openstreetmap.org/?mlat=35.4649&amp;mlon=44.1302&amp;zoom=12#map=12/35.4649/44.1302","Maplink1")</f>
        <v>Maplink1</v>
      </c>
      <c r="AU408" s="20" t="str">
        <f>HYPERLINK("https://www.google.iq/maps/search/+35.4649,44.1302/@35.4649,44.1302,14z?hl=en","Maplink2")</f>
        <v>Maplink2</v>
      </c>
      <c r="AV408" s="20" t="str">
        <f>HYPERLINK("http://www.bing.com/maps/?lvl=14&amp;sty=h&amp;cp=35.4649~44.1302&amp;sp=point.35.4649_44.1302","Maplink3")</f>
        <v>Maplink3</v>
      </c>
    </row>
    <row r="409" spans="1:48" x14ac:dyDescent="0.25">
      <c r="A409" s="9">
        <v>17995</v>
      </c>
      <c r="B409" s="10" t="s">
        <v>20</v>
      </c>
      <c r="C409" s="10" t="s">
        <v>882</v>
      </c>
      <c r="D409" s="10" t="s">
        <v>883</v>
      </c>
      <c r="E409" s="10" t="s">
        <v>884</v>
      </c>
      <c r="F409" s="10">
        <v>36.025100000000002</v>
      </c>
      <c r="G409" s="10">
        <v>43.404400000000003</v>
      </c>
      <c r="H409" s="11">
        <v>248</v>
      </c>
      <c r="I409" s="11">
        <v>1488</v>
      </c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>
        <v>248</v>
      </c>
      <c r="W409" s="11"/>
      <c r="X409" s="11"/>
      <c r="Y409" s="11"/>
      <c r="Z409" s="11"/>
      <c r="AA409" s="11"/>
      <c r="AB409" s="11"/>
      <c r="AC409" s="11">
        <v>248</v>
      </c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>
        <v>248</v>
      </c>
      <c r="AT409" s="20" t="str">
        <f>HYPERLINK("http://www.openstreetmap.org/?mlat=36.0251&amp;mlon=43.4044&amp;zoom=12#map=12/36.0251/43.4044","Maplink1")</f>
        <v>Maplink1</v>
      </c>
      <c r="AU409" s="20" t="str">
        <f>HYPERLINK("https://www.google.iq/maps/search/+36.0251,43.4044/@36.0251,43.4044,14z?hl=en","Maplink2")</f>
        <v>Maplink2</v>
      </c>
      <c r="AV409" s="20" t="str">
        <f>HYPERLINK("http://www.bing.com/maps/?lvl=14&amp;sty=h&amp;cp=36.0251~43.4044&amp;sp=point.36.0251_43.4044","Maplink3")</f>
        <v>Maplink3</v>
      </c>
    </row>
    <row r="410" spans="1:48" x14ac:dyDescent="0.25">
      <c r="A410" s="9">
        <v>22314</v>
      </c>
      <c r="B410" s="10" t="s">
        <v>20</v>
      </c>
      <c r="C410" s="10" t="s">
        <v>882</v>
      </c>
      <c r="D410" s="10" t="s">
        <v>885</v>
      </c>
      <c r="E410" s="10" t="s">
        <v>886</v>
      </c>
      <c r="F410" s="10">
        <v>36.350965000000002</v>
      </c>
      <c r="G410" s="10">
        <v>43.343226999999999</v>
      </c>
      <c r="H410" s="11">
        <v>162</v>
      </c>
      <c r="I410" s="11">
        <v>972</v>
      </c>
      <c r="J410" s="11"/>
      <c r="K410" s="11">
        <v>9</v>
      </c>
      <c r="L410" s="11">
        <v>10</v>
      </c>
      <c r="M410" s="11"/>
      <c r="N410" s="11">
        <v>13</v>
      </c>
      <c r="O410" s="11"/>
      <c r="P410" s="11">
        <v>39</v>
      </c>
      <c r="Q410" s="11">
        <v>26</v>
      </c>
      <c r="R410" s="11"/>
      <c r="S410" s="11"/>
      <c r="T410" s="11"/>
      <c r="U410" s="11">
        <v>18</v>
      </c>
      <c r="V410" s="11">
        <v>15</v>
      </c>
      <c r="W410" s="11">
        <v>2</v>
      </c>
      <c r="X410" s="11"/>
      <c r="Y410" s="11"/>
      <c r="Z410" s="11"/>
      <c r="AA410" s="11">
        <v>30</v>
      </c>
      <c r="AB410" s="11"/>
      <c r="AC410" s="11">
        <v>162</v>
      </c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>
        <v>162</v>
      </c>
      <c r="AP410" s="11"/>
      <c r="AQ410" s="11"/>
      <c r="AR410" s="11"/>
      <c r="AS410" s="11"/>
      <c r="AT410" s="20" t="str">
        <f>HYPERLINK("http://www.openstreetmap.org/?mlat=36.351&amp;mlon=43.3432&amp;zoom=12#map=12/36.351/43.3432","Maplink1")</f>
        <v>Maplink1</v>
      </c>
      <c r="AU410" s="20" t="str">
        <f>HYPERLINK("https://www.google.iq/maps/search/+36.351,43.3432/@36.351,43.3432,14z?hl=en","Maplink2")</f>
        <v>Maplink2</v>
      </c>
      <c r="AV410" s="20" t="str">
        <f>HYPERLINK("http://www.bing.com/maps/?lvl=14&amp;sty=h&amp;cp=36.351~43.3432&amp;sp=point.36.351_43.3432","Maplink3")</f>
        <v>Maplink3</v>
      </c>
    </row>
    <row r="411" spans="1:48" x14ac:dyDescent="0.25">
      <c r="A411" s="9">
        <v>17903</v>
      </c>
      <c r="B411" s="10" t="s">
        <v>20</v>
      </c>
      <c r="C411" s="10" t="s">
        <v>882</v>
      </c>
      <c r="D411" s="10" t="s">
        <v>887</v>
      </c>
      <c r="E411" s="10" t="s">
        <v>888</v>
      </c>
      <c r="F411" s="10">
        <v>36.143467999999999</v>
      </c>
      <c r="G411" s="10">
        <v>43.313338999999999</v>
      </c>
      <c r="H411" s="11">
        <v>10</v>
      </c>
      <c r="I411" s="11">
        <v>60</v>
      </c>
      <c r="J411" s="11"/>
      <c r="K411" s="11"/>
      <c r="L411" s="11"/>
      <c r="M411" s="11"/>
      <c r="N411" s="11"/>
      <c r="O411" s="11"/>
      <c r="P411" s="11">
        <v>4</v>
      </c>
      <c r="Q411" s="11">
        <v>2</v>
      </c>
      <c r="R411" s="11"/>
      <c r="S411" s="11"/>
      <c r="T411" s="11"/>
      <c r="U411" s="11"/>
      <c r="V411" s="11"/>
      <c r="W411" s="11"/>
      <c r="X411" s="11"/>
      <c r="Y411" s="11"/>
      <c r="Z411" s="11"/>
      <c r="AA411" s="11">
        <v>4</v>
      </c>
      <c r="AB411" s="11"/>
      <c r="AC411" s="11">
        <v>10</v>
      </c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>
        <v>10</v>
      </c>
      <c r="AP411" s="11"/>
      <c r="AQ411" s="11"/>
      <c r="AR411" s="11"/>
      <c r="AS411" s="11"/>
      <c r="AT411" s="20" t="str">
        <f>HYPERLINK("http://www.openstreetmap.org/?mlat=36.1435&amp;mlon=43.3133&amp;zoom=12#map=12/36.1435/43.3133","Maplink1")</f>
        <v>Maplink1</v>
      </c>
      <c r="AU411" s="20" t="str">
        <f>HYPERLINK("https://www.google.iq/maps/search/+36.1435,43.3133/@36.1435,43.3133,14z?hl=en","Maplink2")</f>
        <v>Maplink2</v>
      </c>
      <c r="AV411" s="20" t="str">
        <f>HYPERLINK("http://www.bing.com/maps/?lvl=14&amp;sty=h&amp;cp=36.1435~43.3133&amp;sp=point.36.1435_43.3133","Maplink3")</f>
        <v>Maplink3</v>
      </c>
    </row>
    <row r="412" spans="1:48" x14ac:dyDescent="0.25">
      <c r="A412" s="9">
        <v>22211</v>
      </c>
      <c r="B412" s="10" t="s">
        <v>20</v>
      </c>
      <c r="C412" s="10" t="s">
        <v>882</v>
      </c>
      <c r="D412" s="10" t="s">
        <v>889</v>
      </c>
      <c r="E412" s="10" t="s">
        <v>890</v>
      </c>
      <c r="F412" s="10">
        <v>36.353264000000003</v>
      </c>
      <c r="G412" s="10">
        <v>43.322865</v>
      </c>
      <c r="H412" s="11">
        <v>70</v>
      </c>
      <c r="I412" s="11">
        <v>420</v>
      </c>
      <c r="J412" s="11"/>
      <c r="K412" s="11">
        <v>3</v>
      </c>
      <c r="L412" s="11">
        <v>20</v>
      </c>
      <c r="M412" s="11"/>
      <c r="N412" s="11">
        <v>3</v>
      </c>
      <c r="O412" s="11"/>
      <c r="P412" s="11">
        <v>18</v>
      </c>
      <c r="Q412" s="11">
        <v>22</v>
      </c>
      <c r="R412" s="11"/>
      <c r="S412" s="11"/>
      <c r="T412" s="11"/>
      <c r="U412" s="11">
        <v>4</v>
      </c>
      <c r="V412" s="11"/>
      <c r="W412" s="11"/>
      <c r="X412" s="11"/>
      <c r="Y412" s="11"/>
      <c r="Z412" s="11"/>
      <c r="AA412" s="11"/>
      <c r="AB412" s="11"/>
      <c r="AC412" s="11">
        <v>70</v>
      </c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>
        <v>70</v>
      </c>
      <c r="AP412" s="11"/>
      <c r="AQ412" s="11"/>
      <c r="AR412" s="11"/>
      <c r="AS412" s="11"/>
      <c r="AT412" s="20" t="str">
        <f>HYPERLINK("http://www.openstreetmap.org/?mlat=36.3533&amp;mlon=43.3229&amp;zoom=12#map=12/36.3533/43.3229","Maplink1")</f>
        <v>Maplink1</v>
      </c>
      <c r="AU412" s="20" t="str">
        <f>HYPERLINK("https://www.google.iq/maps/search/+36.3533,43.3229/@36.3533,43.3229,14z?hl=en","Maplink2")</f>
        <v>Maplink2</v>
      </c>
      <c r="AV412" s="20" t="str">
        <f>HYPERLINK("http://www.bing.com/maps/?lvl=14&amp;sty=h&amp;cp=36.3533~43.3229&amp;sp=point.36.3533_43.3229","Maplink3")</f>
        <v>Maplink3</v>
      </c>
    </row>
    <row r="413" spans="1:48" x14ac:dyDescent="0.25">
      <c r="A413" s="9">
        <v>21940</v>
      </c>
      <c r="B413" s="10" t="s">
        <v>20</v>
      </c>
      <c r="C413" s="10" t="s">
        <v>882</v>
      </c>
      <c r="D413" s="10" t="s">
        <v>891</v>
      </c>
      <c r="E413" s="10" t="s">
        <v>892</v>
      </c>
      <c r="F413" s="10">
        <v>36.299300000000002</v>
      </c>
      <c r="G413" s="10">
        <v>43.263061999999998</v>
      </c>
      <c r="H413" s="11">
        <v>40</v>
      </c>
      <c r="I413" s="11">
        <v>240</v>
      </c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>
        <v>40</v>
      </c>
      <c r="W413" s="11"/>
      <c r="X413" s="11"/>
      <c r="Y413" s="11"/>
      <c r="Z413" s="11"/>
      <c r="AA413" s="11"/>
      <c r="AB413" s="11"/>
      <c r="AC413" s="11">
        <v>40</v>
      </c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>
        <v>40</v>
      </c>
      <c r="AT413" s="20" t="str">
        <f>HYPERLINK("http://www.openstreetmap.org/?mlat=36.2993&amp;mlon=43.2631&amp;zoom=12#map=12/36.2993/43.2631","Maplink1")</f>
        <v>Maplink1</v>
      </c>
      <c r="AU413" s="20" t="str">
        <f>HYPERLINK("https://www.google.iq/maps/search/+36.2993,43.2631/@36.2993,43.2631,14z?hl=en","Maplink2")</f>
        <v>Maplink2</v>
      </c>
      <c r="AV413" s="20" t="str">
        <f>HYPERLINK("http://www.bing.com/maps/?lvl=14&amp;sty=h&amp;cp=36.2993~43.2631&amp;sp=point.36.2993_43.2631","Maplink3")</f>
        <v>Maplink3</v>
      </c>
    </row>
    <row r="414" spans="1:48" x14ac:dyDescent="0.25">
      <c r="A414" s="9">
        <v>17991</v>
      </c>
      <c r="B414" s="10" t="s">
        <v>20</v>
      </c>
      <c r="C414" s="10" t="s">
        <v>882</v>
      </c>
      <c r="D414" s="10" t="s">
        <v>893</v>
      </c>
      <c r="E414" s="10" t="s">
        <v>894</v>
      </c>
      <c r="F414" s="10">
        <v>36.287300000000002</v>
      </c>
      <c r="G414" s="10">
        <v>43.294600000000003</v>
      </c>
      <c r="H414" s="11">
        <v>400</v>
      </c>
      <c r="I414" s="11">
        <v>2400</v>
      </c>
      <c r="J414" s="11"/>
      <c r="K414" s="11">
        <v>6</v>
      </c>
      <c r="L414" s="11">
        <v>34</v>
      </c>
      <c r="M414" s="11"/>
      <c r="N414" s="11">
        <v>11</v>
      </c>
      <c r="O414" s="11"/>
      <c r="P414" s="11">
        <v>95</v>
      </c>
      <c r="Q414" s="11">
        <v>10</v>
      </c>
      <c r="R414" s="11"/>
      <c r="S414" s="11"/>
      <c r="T414" s="11"/>
      <c r="U414" s="11">
        <v>20</v>
      </c>
      <c r="V414" s="11">
        <v>10</v>
      </c>
      <c r="W414" s="11">
        <v>62</v>
      </c>
      <c r="X414" s="11"/>
      <c r="Y414" s="11"/>
      <c r="Z414" s="11">
        <v>30</v>
      </c>
      <c r="AA414" s="11">
        <v>122</v>
      </c>
      <c r="AB414" s="11"/>
      <c r="AC414" s="11">
        <v>400</v>
      </c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>
        <v>400</v>
      </c>
      <c r="AP414" s="11"/>
      <c r="AQ414" s="11"/>
      <c r="AR414" s="11"/>
      <c r="AS414" s="11"/>
      <c r="AT414" s="20" t="str">
        <f>HYPERLINK("http://www.openstreetmap.org/?mlat=36.2873&amp;mlon=43.2946&amp;zoom=12#map=12/36.2873/43.2946","Maplink1")</f>
        <v>Maplink1</v>
      </c>
      <c r="AU414" s="20" t="str">
        <f>HYPERLINK("https://www.google.iq/maps/search/+36.2873,43.2946/@36.2873,43.2946,14z?hl=en","Maplink2")</f>
        <v>Maplink2</v>
      </c>
      <c r="AV414" s="20" t="str">
        <f>HYPERLINK("http://www.bing.com/maps/?lvl=14&amp;sty=h&amp;cp=36.2873~43.2946&amp;sp=point.36.2873_43.2946","Maplink3")</f>
        <v>Maplink3</v>
      </c>
    </row>
    <row r="415" spans="1:48" x14ac:dyDescent="0.25">
      <c r="A415" s="9">
        <v>17131</v>
      </c>
      <c r="B415" s="10" t="s">
        <v>20</v>
      </c>
      <c r="C415" s="10" t="s">
        <v>882</v>
      </c>
      <c r="D415" s="10" t="s">
        <v>895</v>
      </c>
      <c r="E415" s="10" t="s">
        <v>896</v>
      </c>
      <c r="F415" s="10">
        <v>36.353861999999999</v>
      </c>
      <c r="G415" s="10">
        <v>43.378590000000003</v>
      </c>
      <c r="H415" s="11">
        <v>303</v>
      </c>
      <c r="I415" s="11">
        <v>1818</v>
      </c>
      <c r="J415" s="11"/>
      <c r="K415" s="11">
        <v>7</v>
      </c>
      <c r="L415" s="11">
        <v>9</v>
      </c>
      <c r="M415" s="11"/>
      <c r="N415" s="11">
        <v>31</v>
      </c>
      <c r="O415" s="11">
        <v>2</v>
      </c>
      <c r="P415" s="11">
        <v>165</v>
      </c>
      <c r="Q415" s="11">
        <v>8</v>
      </c>
      <c r="R415" s="11"/>
      <c r="S415" s="11"/>
      <c r="T415" s="11">
        <v>18</v>
      </c>
      <c r="U415" s="11">
        <v>31</v>
      </c>
      <c r="V415" s="11">
        <v>4</v>
      </c>
      <c r="W415" s="11">
        <v>1</v>
      </c>
      <c r="X415" s="11"/>
      <c r="Y415" s="11">
        <v>4</v>
      </c>
      <c r="Z415" s="11">
        <v>2</v>
      </c>
      <c r="AA415" s="11">
        <v>21</v>
      </c>
      <c r="AB415" s="11"/>
      <c r="AC415" s="11">
        <v>303</v>
      </c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>
        <v>303</v>
      </c>
      <c r="AP415" s="11"/>
      <c r="AQ415" s="11"/>
      <c r="AR415" s="11"/>
      <c r="AS415" s="11"/>
      <c r="AT415" s="20" t="str">
        <f>HYPERLINK("http://www.openstreetmap.org/?mlat=36.3539&amp;mlon=43.3786&amp;zoom=12#map=12/36.3539/43.3786","Maplink1")</f>
        <v>Maplink1</v>
      </c>
      <c r="AU415" s="20" t="str">
        <f>HYPERLINK("https://www.google.iq/maps/search/+36.3539,43.3786/@36.3539,43.3786,14z?hl=en","Maplink2")</f>
        <v>Maplink2</v>
      </c>
      <c r="AV415" s="20" t="str">
        <f>HYPERLINK("http://www.bing.com/maps/?lvl=14&amp;sty=h&amp;cp=36.3539~43.3786&amp;sp=point.36.3539_43.3786","Maplink3")</f>
        <v>Maplink3</v>
      </c>
    </row>
    <row r="416" spans="1:48" x14ac:dyDescent="0.25">
      <c r="A416" s="9">
        <v>17766</v>
      </c>
      <c r="B416" s="10" t="s">
        <v>20</v>
      </c>
      <c r="C416" s="10" t="s">
        <v>882</v>
      </c>
      <c r="D416" s="10" t="s">
        <v>897</v>
      </c>
      <c r="E416" s="10" t="s">
        <v>898</v>
      </c>
      <c r="F416" s="10">
        <v>36.334273000000003</v>
      </c>
      <c r="G416" s="10">
        <v>43.356608999999999</v>
      </c>
      <c r="H416" s="11">
        <v>120</v>
      </c>
      <c r="I416" s="11">
        <v>720</v>
      </c>
      <c r="J416" s="11"/>
      <c r="K416" s="11">
        <v>10</v>
      </c>
      <c r="L416" s="11">
        <v>20</v>
      </c>
      <c r="M416" s="11"/>
      <c r="N416" s="11"/>
      <c r="O416" s="11"/>
      <c r="P416" s="11">
        <v>20</v>
      </c>
      <c r="Q416" s="11"/>
      <c r="R416" s="11"/>
      <c r="S416" s="11"/>
      <c r="T416" s="11"/>
      <c r="U416" s="11">
        <v>25</v>
      </c>
      <c r="V416" s="11"/>
      <c r="W416" s="11">
        <v>30</v>
      </c>
      <c r="X416" s="11"/>
      <c r="Y416" s="11">
        <v>15</v>
      </c>
      <c r="Z416" s="11"/>
      <c r="AA416" s="11"/>
      <c r="AB416" s="11"/>
      <c r="AC416" s="11">
        <v>120</v>
      </c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>
        <v>120</v>
      </c>
      <c r="AP416" s="11"/>
      <c r="AQ416" s="11"/>
      <c r="AR416" s="11"/>
      <c r="AS416" s="11"/>
      <c r="AT416" s="20" t="str">
        <f>HYPERLINK("http://www.openstreetmap.org/?mlat=36.3343&amp;mlon=43.3566&amp;zoom=12#map=12/36.3343/43.3566","Maplink1")</f>
        <v>Maplink1</v>
      </c>
      <c r="AU416" s="20" t="str">
        <f>HYPERLINK("https://www.google.iq/maps/search/+36.3343,43.3566/@36.3343,43.3566,14z?hl=en","Maplink2")</f>
        <v>Maplink2</v>
      </c>
      <c r="AV416" s="20" t="str">
        <f>HYPERLINK("http://www.bing.com/maps/?lvl=14&amp;sty=h&amp;cp=36.3343~43.3566&amp;sp=point.36.3343_43.3566","Maplink3")</f>
        <v>Maplink3</v>
      </c>
    </row>
    <row r="417" spans="1:48" x14ac:dyDescent="0.25">
      <c r="A417" s="9">
        <v>29643</v>
      </c>
      <c r="B417" s="10" t="s">
        <v>20</v>
      </c>
      <c r="C417" s="10" t="s">
        <v>882</v>
      </c>
      <c r="D417" s="10" t="s">
        <v>899</v>
      </c>
      <c r="E417" s="10" t="s">
        <v>900</v>
      </c>
      <c r="F417" s="10">
        <v>36.033499999999997</v>
      </c>
      <c r="G417" s="10">
        <v>43.435499999999998</v>
      </c>
      <c r="H417" s="11">
        <v>188</v>
      </c>
      <c r="I417" s="11">
        <v>1128</v>
      </c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>
        <v>188</v>
      </c>
      <c r="W417" s="11"/>
      <c r="X417" s="11"/>
      <c r="Y417" s="11"/>
      <c r="Z417" s="11"/>
      <c r="AA417" s="11"/>
      <c r="AB417" s="11"/>
      <c r="AC417" s="11">
        <v>188</v>
      </c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>
        <v>188</v>
      </c>
      <c r="AT417" s="20" t="str">
        <f>HYPERLINK("http://www.openstreetmap.org/?mlat=36.0335&amp;mlon=43.4355&amp;zoom=12#map=12/36.0335/43.4355","Maplink1")</f>
        <v>Maplink1</v>
      </c>
      <c r="AU417" s="20" t="str">
        <f>HYPERLINK("https://www.google.iq/maps/search/+36.0335,43.4355/@36.0335,43.4355,14z?hl=en","Maplink2")</f>
        <v>Maplink2</v>
      </c>
      <c r="AV417" s="20" t="str">
        <f>HYPERLINK("http://www.bing.com/maps/?lvl=14&amp;sty=h&amp;cp=36.0335~43.4355&amp;sp=point.36.0335_43.4355","Maplink3")</f>
        <v>Maplink3</v>
      </c>
    </row>
    <row r="418" spans="1:48" x14ac:dyDescent="0.25">
      <c r="A418" s="9">
        <v>17399</v>
      </c>
      <c r="B418" s="10" t="s">
        <v>20</v>
      </c>
      <c r="C418" s="10" t="s">
        <v>882</v>
      </c>
      <c r="D418" s="10" t="s">
        <v>901</v>
      </c>
      <c r="E418" s="10" t="s">
        <v>902</v>
      </c>
      <c r="F418" s="10">
        <v>36.288058999999997</v>
      </c>
      <c r="G418" s="10">
        <v>43.242710000000002</v>
      </c>
      <c r="H418" s="11">
        <v>274</v>
      </c>
      <c r="I418" s="11">
        <v>1644</v>
      </c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>
        <v>5</v>
      </c>
      <c r="V418" s="11">
        <v>260</v>
      </c>
      <c r="W418" s="11">
        <v>2</v>
      </c>
      <c r="X418" s="11"/>
      <c r="Y418" s="11"/>
      <c r="Z418" s="11"/>
      <c r="AA418" s="11">
        <v>7</v>
      </c>
      <c r="AB418" s="11"/>
      <c r="AC418" s="11">
        <v>274</v>
      </c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>
        <v>14</v>
      </c>
      <c r="AP418" s="11"/>
      <c r="AQ418" s="11"/>
      <c r="AR418" s="11"/>
      <c r="AS418" s="11">
        <v>260</v>
      </c>
      <c r="AT418" s="20" t="str">
        <f>HYPERLINK("http://www.openstreetmap.org/?mlat=36.2881&amp;mlon=43.2427&amp;zoom=12#map=12/36.2881/43.2427","Maplink1")</f>
        <v>Maplink1</v>
      </c>
      <c r="AU418" s="20" t="str">
        <f>HYPERLINK("https://www.google.iq/maps/search/+36.2881,43.2427/@36.2881,43.2427,14z?hl=en","Maplink2")</f>
        <v>Maplink2</v>
      </c>
      <c r="AV418" s="20" t="str">
        <f>HYPERLINK("http://www.bing.com/maps/?lvl=14&amp;sty=h&amp;cp=36.2881~43.2427&amp;sp=point.36.2881_43.2427","Maplink3")</f>
        <v>Maplink3</v>
      </c>
    </row>
    <row r="419" spans="1:48" x14ac:dyDescent="0.25">
      <c r="A419" s="9">
        <v>29611</v>
      </c>
      <c r="B419" s="10" t="s">
        <v>20</v>
      </c>
      <c r="C419" s="10" t="s">
        <v>882</v>
      </c>
      <c r="D419" s="10" t="s">
        <v>903</v>
      </c>
      <c r="E419" s="10" t="s">
        <v>904</v>
      </c>
      <c r="F419" s="10">
        <v>36.209584999999997</v>
      </c>
      <c r="G419" s="10">
        <v>43.526522</v>
      </c>
      <c r="H419" s="11">
        <v>377</v>
      </c>
      <c r="I419" s="11">
        <v>2262</v>
      </c>
      <c r="J419" s="11"/>
      <c r="K419" s="11"/>
      <c r="L419" s="11"/>
      <c r="M419" s="11"/>
      <c r="N419" s="11">
        <v>100</v>
      </c>
      <c r="O419" s="11"/>
      <c r="P419" s="11">
        <v>277</v>
      </c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>
        <v>377</v>
      </c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>
        <v>377</v>
      </c>
      <c r="AP419" s="11"/>
      <c r="AQ419" s="11"/>
      <c r="AR419" s="11"/>
      <c r="AS419" s="11"/>
      <c r="AT419" s="20" t="str">
        <f>HYPERLINK("http://www.openstreetmap.org/?mlat=36.2096&amp;mlon=43.5265&amp;zoom=12#map=12/36.2096/43.5265","Maplink1")</f>
        <v>Maplink1</v>
      </c>
      <c r="AU419" s="20" t="str">
        <f>HYPERLINK("https://www.google.iq/maps/search/+36.2096,43.5265/@36.2096,43.5265,14z?hl=en","Maplink2")</f>
        <v>Maplink2</v>
      </c>
      <c r="AV419" s="20" t="str">
        <f>HYPERLINK("http://www.bing.com/maps/?lvl=14&amp;sty=h&amp;cp=36.2096~43.5265&amp;sp=point.36.2096_43.5265","Maplink3")</f>
        <v>Maplink3</v>
      </c>
    </row>
    <row r="420" spans="1:48" x14ac:dyDescent="0.25">
      <c r="A420" s="9">
        <v>17375</v>
      </c>
      <c r="B420" s="10" t="s">
        <v>20</v>
      </c>
      <c r="C420" s="10" t="s">
        <v>882</v>
      </c>
      <c r="D420" s="10" t="s">
        <v>905</v>
      </c>
      <c r="E420" s="10" t="s">
        <v>906</v>
      </c>
      <c r="F420" s="10">
        <v>36.214646000000002</v>
      </c>
      <c r="G420" s="10">
        <v>43.449860000000001</v>
      </c>
      <c r="H420" s="11">
        <v>210</v>
      </c>
      <c r="I420" s="11">
        <v>1260</v>
      </c>
      <c r="J420" s="11"/>
      <c r="K420" s="11">
        <v>30</v>
      </c>
      <c r="L420" s="11">
        <v>40</v>
      </c>
      <c r="M420" s="11"/>
      <c r="N420" s="11"/>
      <c r="O420" s="11"/>
      <c r="P420" s="11">
        <v>82</v>
      </c>
      <c r="Q420" s="11"/>
      <c r="R420" s="11"/>
      <c r="S420" s="11"/>
      <c r="T420" s="11"/>
      <c r="U420" s="11">
        <v>9</v>
      </c>
      <c r="V420" s="11">
        <v>18</v>
      </c>
      <c r="W420" s="11"/>
      <c r="X420" s="11"/>
      <c r="Y420" s="11">
        <v>1</v>
      </c>
      <c r="Z420" s="11">
        <v>10</v>
      </c>
      <c r="AA420" s="11">
        <v>20</v>
      </c>
      <c r="AB420" s="11"/>
      <c r="AC420" s="11">
        <v>210</v>
      </c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>
        <v>210</v>
      </c>
      <c r="AP420" s="11"/>
      <c r="AQ420" s="11"/>
      <c r="AR420" s="11"/>
      <c r="AS420" s="11"/>
      <c r="AT420" s="20" t="str">
        <f>HYPERLINK("http://www.openstreetmap.org/?mlat=36.2146&amp;mlon=43.4499&amp;zoom=12#map=12/36.2146/43.4499","Maplink1")</f>
        <v>Maplink1</v>
      </c>
      <c r="AU420" s="20" t="str">
        <f>HYPERLINK("https://www.google.iq/maps/search/+36.2146,43.4499/@36.2146,43.4499,14z?hl=en","Maplink2")</f>
        <v>Maplink2</v>
      </c>
      <c r="AV420" s="20" t="str">
        <f>HYPERLINK("http://www.bing.com/maps/?lvl=14&amp;sty=h&amp;cp=36.2146~43.4499&amp;sp=point.36.2146_43.4499","Maplink3")</f>
        <v>Maplink3</v>
      </c>
    </row>
    <row r="421" spans="1:48" x14ac:dyDescent="0.25">
      <c r="A421" s="9">
        <v>23699</v>
      </c>
      <c r="B421" s="10" t="s">
        <v>20</v>
      </c>
      <c r="C421" s="10" t="s">
        <v>882</v>
      </c>
      <c r="D421" s="10" t="s">
        <v>907</v>
      </c>
      <c r="E421" s="10" t="s">
        <v>908</v>
      </c>
      <c r="F421" s="10">
        <v>36.363317000000002</v>
      </c>
      <c r="G421" s="10">
        <v>43.358153999999999</v>
      </c>
      <c r="H421" s="11">
        <v>534</v>
      </c>
      <c r="I421" s="11">
        <v>3204</v>
      </c>
      <c r="J421" s="11"/>
      <c r="K421" s="11">
        <v>14</v>
      </c>
      <c r="L421" s="11">
        <v>48</v>
      </c>
      <c r="M421" s="11">
        <v>42</v>
      </c>
      <c r="N421" s="11">
        <v>9</v>
      </c>
      <c r="O421" s="11">
        <v>1</v>
      </c>
      <c r="P421" s="11">
        <v>192</v>
      </c>
      <c r="Q421" s="11">
        <v>58</v>
      </c>
      <c r="R421" s="11"/>
      <c r="S421" s="11"/>
      <c r="T421" s="11">
        <v>45</v>
      </c>
      <c r="U421" s="11">
        <v>52</v>
      </c>
      <c r="V421" s="11"/>
      <c r="W421" s="11">
        <v>9</v>
      </c>
      <c r="X421" s="11"/>
      <c r="Y421" s="11">
        <v>19</v>
      </c>
      <c r="Z421" s="11">
        <v>32</v>
      </c>
      <c r="AA421" s="11">
        <v>13</v>
      </c>
      <c r="AB421" s="11"/>
      <c r="AC421" s="11">
        <v>534</v>
      </c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>
        <v>534</v>
      </c>
      <c r="AP421" s="11"/>
      <c r="AQ421" s="11"/>
      <c r="AR421" s="11"/>
      <c r="AS421" s="11"/>
      <c r="AT421" s="20" t="str">
        <f>HYPERLINK("http://www.openstreetmap.org/?mlat=36.3633&amp;mlon=43.3582&amp;zoom=12#map=12/36.3633/43.3582","Maplink1")</f>
        <v>Maplink1</v>
      </c>
      <c r="AU421" s="20" t="str">
        <f>HYPERLINK("https://www.google.iq/maps/search/+36.3633,43.3582/@36.3633,43.3582,14z?hl=en","Maplink2")</f>
        <v>Maplink2</v>
      </c>
      <c r="AV421" s="20" t="str">
        <f>HYPERLINK("http://www.bing.com/maps/?lvl=14&amp;sty=h&amp;cp=36.3633~43.3582&amp;sp=point.36.3633_43.3582","Maplink3")</f>
        <v>Maplink3</v>
      </c>
    </row>
    <row r="422" spans="1:48" x14ac:dyDescent="0.25">
      <c r="A422" s="9">
        <v>22805</v>
      </c>
      <c r="B422" s="10" t="s">
        <v>20</v>
      </c>
      <c r="C422" s="10" t="s">
        <v>882</v>
      </c>
      <c r="D422" s="10" t="s">
        <v>909</v>
      </c>
      <c r="E422" s="10" t="s">
        <v>910</v>
      </c>
      <c r="F422" s="10">
        <v>36.323174999999999</v>
      </c>
      <c r="G422" s="10">
        <v>43.241056999999998</v>
      </c>
      <c r="H422" s="11">
        <v>90</v>
      </c>
      <c r="I422" s="11">
        <v>540</v>
      </c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>
        <v>90</v>
      </c>
      <c r="W422" s="11"/>
      <c r="X422" s="11"/>
      <c r="Y422" s="11"/>
      <c r="Z422" s="11"/>
      <c r="AA422" s="11"/>
      <c r="AB422" s="11"/>
      <c r="AC422" s="11">
        <v>90</v>
      </c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>
        <v>90</v>
      </c>
      <c r="AT422" s="20" t="str">
        <f>HYPERLINK("http://www.openstreetmap.org/?mlat=36.3232&amp;mlon=43.2411&amp;zoom=12#map=12/36.3232/43.2411","Maplink1")</f>
        <v>Maplink1</v>
      </c>
      <c r="AU422" s="20" t="str">
        <f>HYPERLINK("https://www.google.iq/maps/search/+36.3232,43.2411/@36.3232,43.2411,14z?hl=en","Maplink2")</f>
        <v>Maplink2</v>
      </c>
      <c r="AV422" s="20" t="str">
        <f>HYPERLINK("http://www.bing.com/maps/?lvl=14&amp;sty=h&amp;cp=36.3232~43.2411&amp;sp=point.36.3232_43.2411","Maplink3")</f>
        <v>Maplink3</v>
      </c>
    </row>
    <row r="423" spans="1:48" x14ac:dyDescent="0.25">
      <c r="A423" s="9">
        <v>29684</v>
      </c>
      <c r="B423" s="10" t="s">
        <v>20</v>
      </c>
      <c r="C423" s="10" t="s">
        <v>882</v>
      </c>
      <c r="D423" s="10" t="s">
        <v>911</v>
      </c>
      <c r="E423" s="10" t="s">
        <v>912</v>
      </c>
      <c r="F423" s="10">
        <v>36.013193999999999</v>
      </c>
      <c r="G423" s="10">
        <v>43.377346000000003</v>
      </c>
      <c r="H423" s="11">
        <v>216</v>
      </c>
      <c r="I423" s="11">
        <v>1296</v>
      </c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>
        <v>216</v>
      </c>
      <c r="W423" s="11"/>
      <c r="X423" s="11"/>
      <c r="Y423" s="11"/>
      <c r="Z423" s="11"/>
      <c r="AA423" s="11"/>
      <c r="AB423" s="11"/>
      <c r="AC423" s="11">
        <v>216</v>
      </c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>
        <v>216</v>
      </c>
      <c r="AT423" s="20" t="str">
        <f>HYPERLINK("http://www.openstreetmap.org/?mlat=36.0132&amp;mlon=43.3773&amp;zoom=12#map=12/36.0132/43.3773","Maplink1")</f>
        <v>Maplink1</v>
      </c>
      <c r="AU423" s="20" t="str">
        <f>HYPERLINK("https://www.google.iq/maps/search/+36.0132,43.3773/@36.0132,43.3773,14z?hl=en","Maplink2")</f>
        <v>Maplink2</v>
      </c>
      <c r="AV423" s="20" t="str">
        <f>HYPERLINK("http://www.bing.com/maps/?lvl=14&amp;sty=h&amp;cp=36.0132~43.3773&amp;sp=point.36.0132_43.3773","Maplink3")</f>
        <v>Maplink3</v>
      </c>
    </row>
    <row r="424" spans="1:48" x14ac:dyDescent="0.25">
      <c r="A424" s="9">
        <v>29612</v>
      </c>
      <c r="B424" s="10" t="s">
        <v>20</v>
      </c>
      <c r="C424" s="10" t="s">
        <v>882</v>
      </c>
      <c r="D424" s="10" t="s">
        <v>913</v>
      </c>
      <c r="E424" s="10" t="s">
        <v>914</v>
      </c>
      <c r="F424" s="10">
        <v>36.192743999999998</v>
      </c>
      <c r="G424" s="10">
        <v>43.559347000000002</v>
      </c>
      <c r="H424" s="11">
        <v>141</v>
      </c>
      <c r="I424" s="11">
        <v>846</v>
      </c>
      <c r="J424" s="11"/>
      <c r="K424" s="11"/>
      <c r="L424" s="11"/>
      <c r="M424" s="11"/>
      <c r="N424" s="11">
        <v>30</v>
      </c>
      <c r="O424" s="11"/>
      <c r="P424" s="11">
        <v>103</v>
      </c>
      <c r="Q424" s="11"/>
      <c r="R424" s="11">
        <v>7</v>
      </c>
      <c r="S424" s="11"/>
      <c r="T424" s="11"/>
      <c r="U424" s="11"/>
      <c r="V424" s="11">
        <v>1</v>
      </c>
      <c r="W424" s="11"/>
      <c r="X424" s="11"/>
      <c r="Y424" s="11"/>
      <c r="Z424" s="11"/>
      <c r="AA424" s="11"/>
      <c r="AB424" s="11"/>
      <c r="AC424" s="11">
        <v>141</v>
      </c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>
        <v>141</v>
      </c>
      <c r="AP424" s="11"/>
      <c r="AQ424" s="11"/>
      <c r="AR424" s="11"/>
      <c r="AS424" s="11"/>
      <c r="AT424" s="20" t="str">
        <f>HYPERLINK("http://www.openstreetmap.org/?mlat=36.1927&amp;mlon=43.5593&amp;zoom=12#map=12/36.1927/43.5593","Maplink1")</f>
        <v>Maplink1</v>
      </c>
      <c r="AU424" s="20" t="str">
        <f>HYPERLINK("https://www.google.iq/maps/search/+36.1927,43.5593/@36.1927,43.5593,14z?hl=en","Maplink2")</f>
        <v>Maplink2</v>
      </c>
      <c r="AV424" s="20" t="str">
        <f>HYPERLINK("http://www.bing.com/maps/?lvl=14&amp;sty=h&amp;cp=36.1927~43.5593&amp;sp=point.36.1927_43.5593","Maplink3")</f>
        <v>Maplink3</v>
      </c>
    </row>
    <row r="425" spans="1:48" x14ac:dyDescent="0.25">
      <c r="A425" s="9">
        <v>17373</v>
      </c>
      <c r="B425" s="10" t="s">
        <v>20</v>
      </c>
      <c r="C425" s="10" t="s">
        <v>882</v>
      </c>
      <c r="D425" s="10" t="s">
        <v>915</v>
      </c>
      <c r="E425" s="10" t="s">
        <v>916</v>
      </c>
      <c r="F425" s="10">
        <v>36.314425999999997</v>
      </c>
      <c r="G425" s="10">
        <v>43.330171999999997</v>
      </c>
      <c r="H425" s="11">
        <v>367</v>
      </c>
      <c r="I425" s="11">
        <v>2202</v>
      </c>
      <c r="J425" s="11"/>
      <c r="K425" s="11">
        <v>21</v>
      </c>
      <c r="L425" s="11">
        <v>14</v>
      </c>
      <c r="M425" s="11"/>
      <c r="N425" s="11">
        <v>26</v>
      </c>
      <c r="O425" s="11"/>
      <c r="P425" s="11">
        <v>111</v>
      </c>
      <c r="Q425" s="11">
        <v>16</v>
      </c>
      <c r="R425" s="11"/>
      <c r="S425" s="11">
        <v>7</v>
      </c>
      <c r="T425" s="11">
        <v>13</v>
      </c>
      <c r="U425" s="11">
        <v>21</v>
      </c>
      <c r="V425" s="11"/>
      <c r="W425" s="11">
        <v>29</v>
      </c>
      <c r="X425" s="11"/>
      <c r="Y425" s="11">
        <v>4</v>
      </c>
      <c r="Z425" s="11">
        <v>10</v>
      </c>
      <c r="AA425" s="11">
        <v>95</v>
      </c>
      <c r="AB425" s="11"/>
      <c r="AC425" s="11">
        <v>367</v>
      </c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>
        <v>367</v>
      </c>
      <c r="AP425" s="11"/>
      <c r="AQ425" s="11"/>
      <c r="AR425" s="11"/>
      <c r="AS425" s="11"/>
      <c r="AT425" s="20" t="str">
        <f>HYPERLINK("http://www.openstreetmap.org/?mlat=36.3144&amp;mlon=43.3302&amp;zoom=12#map=12/36.3144/43.3302","Maplink1")</f>
        <v>Maplink1</v>
      </c>
      <c r="AU425" s="20" t="str">
        <f>HYPERLINK("https://www.google.iq/maps/search/+36.3144,43.3302/@36.3144,43.3302,14z?hl=en","Maplink2")</f>
        <v>Maplink2</v>
      </c>
      <c r="AV425" s="20" t="str">
        <f>HYPERLINK("http://www.bing.com/maps/?lvl=14&amp;sty=h&amp;cp=36.3144~43.3302&amp;sp=point.36.3144_43.3302","Maplink3")</f>
        <v>Maplink3</v>
      </c>
    </row>
    <row r="426" spans="1:48" x14ac:dyDescent="0.25">
      <c r="A426" s="9">
        <v>17968</v>
      </c>
      <c r="B426" s="10" t="s">
        <v>20</v>
      </c>
      <c r="C426" s="10" t="s">
        <v>882</v>
      </c>
      <c r="D426" s="10" t="s">
        <v>917</v>
      </c>
      <c r="E426" s="10" t="s">
        <v>918</v>
      </c>
      <c r="F426" s="10">
        <v>36.193098999999997</v>
      </c>
      <c r="G426" s="10">
        <v>43.341918999999997</v>
      </c>
      <c r="H426" s="11">
        <v>211</v>
      </c>
      <c r="I426" s="11">
        <v>1266</v>
      </c>
      <c r="J426" s="11"/>
      <c r="K426" s="11"/>
      <c r="L426" s="11">
        <v>4</v>
      </c>
      <c r="M426" s="11"/>
      <c r="N426" s="11"/>
      <c r="O426" s="11"/>
      <c r="P426" s="11">
        <v>48</v>
      </c>
      <c r="Q426" s="11"/>
      <c r="R426" s="11"/>
      <c r="S426" s="11">
        <v>6</v>
      </c>
      <c r="T426" s="11">
        <v>1</v>
      </c>
      <c r="U426" s="11"/>
      <c r="V426" s="11">
        <v>130</v>
      </c>
      <c r="W426" s="11">
        <v>4</v>
      </c>
      <c r="X426" s="11"/>
      <c r="Y426" s="11">
        <v>4</v>
      </c>
      <c r="Z426" s="11">
        <v>1</v>
      </c>
      <c r="AA426" s="11">
        <v>13</v>
      </c>
      <c r="AB426" s="11"/>
      <c r="AC426" s="11">
        <v>211</v>
      </c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>
        <v>101</v>
      </c>
      <c r="AP426" s="11"/>
      <c r="AQ426" s="11"/>
      <c r="AR426" s="11"/>
      <c r="AS426" s="11">
        <v>110</v>
      </c>
      <c r="AT426" s="20" t="str">
        <f>HYPERLINK("http://www.openstreetmap.org/?mlat=36.1931&amp;mlon=43.3419&amp;zoom=12#map=12/36.1931/43.3419","Maplink1")</f>
        <v>Maplink1</v>
      </c>
      <c r="AU426" s="20" t="str">
        <f>HYPERLINK("https://www.google.iq/maps/search/+36.1931,43.3419/@36.1931,43.3419,14z?hl=en","Maplink2")</f>
        <v>Maplink2</v>
      </c>
      <c r="AV426" s="20" t="str">
        <f>HYPERLINK("http://www.bing.com/maps/?lvl=14&amp;sty=h&amp;cp=36.1931~43.3419&amp;sp=point.36.1931_43.3419","Maplink3")</f>
        <v>Maplink3</v>
      </c>
    </row>
    <row r="427" spans="1:48" x14ac:dyDescent="0.25">
      <c r="A427" s="9">
        <v>18371</v>
      </c>
      <c r="B427" s="10" t="s">
        <v>20</v>
      </c>
      <c r="C427" s="10" t="s">
        <v>882</v>
      </c>
      <c r="D427" s="10" t="s">
        <v>919</v>
      </c>
      <c r="E427" s="10" t="s">
        <v>920</v>
      </c>
      <c r="F427" s="10">
        <v>36.273200000000003</v>
      </c>
      <c r="G427" s="10">
        <v>43.376899999999999</v>
      </c>
      <c r="H427" s="11">
        <v>335</v>
      </c>
      <c r="I427" s="11">
        <v>2010</v>
      </c>
      <c r="J427" s="11"/>
      <c r="K427" s="11"/>
      <c r="L427" s="11"/>
      <c r="M427" s="11"/>
      <c r="N427" s="11">
        <v>5</v>
      </c>
      <c r="O427" s="11"/>
      <c r="P427" s="11">
        <v>330</v>
      </c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>
        <v>335</v>
      </c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>
        <v>335</v>
      </c>
      <c r="AP427" s="11"/>
      <c r="AQ427" s="11"/>
      <c r="AR427" s="11"/>
      <c r="AS427" s="11"/>
      <c r="AT427" s="20" t="str">
        <f>HYPERLINK("http://www.openstreetmap.org/?mlat=36.2732&amp;mlon=43.3769&amp;zoom=12#map=12/36.2732/43.3769","Maplink1")</f>
        <v>Maplink1</v>
      </c>
      <c r="AU427" s="20" t="str">
        <f>HYPERLINK("https://www.google.iq/maps/search/+36.2732,43.3769/@36.2732,43.3769,14z?hl=en","Maplink2")</f>
        <v>Maplink2</v>
      </c>
      <c r="AV427" s="20" t="str">
        <f>HYPERLINK("http://www.bing.com/maps/?lvl=14&amp;sty=h&amp;cp=36.2732~43.3769&amp;sp=point.36.2732_43.3769","Maplink3")</f>
        <v>Maplink3</v>
      </c>
    </row>
    <row r="428" spans="1:48" x14ac:dyDescent="0.25">
      <c r="A428" s="9">
        <v>22125</v>
      </c>
      <c r="B428" s="10" t="s">
        <v>20</v>
      </c>
      <c r="C428" s="10" t="s">
        <v>882</v>
      </c>
      <c r="D428" s="10" t="s">
        <v>921</v>
      </c>
      <c r="E428" s="10" t="s">
        <v>922</v>
      </c>
      <c r="F428" s="10">
        <v>36.190206000000003</v>
      </c>
      <c r="G428" s="10">
        <v>43.472752</v>
      </c>
      <c r="H428" s="11">
        <v>70</v>
      </c>
      <c r="I428" s="11">
        <v>420</v>
      </c>
      <c r="J428" s="11"/>
      <c r="K428" s="11"/>
      <c r="L428" s="11"/>
      <c r="M428" s="11"/>
      <c r="N428" s="11">
        <v>30</v>
      </c>
      <c r="O428" s="11"/>
      <c r="P428" s="11">
        <v>40</v>
      </c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>
        <v>70</v>
      </c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>
        <v>70</v>
      </c>
      <c r="AP428" s="11"/>
      <c r="AQ428" s="11"/>
      <c r="AR428" s="11"/>
      <c r="AS428" s="11"/>
      <c r="AT428" s="20" t="str">
        <f>HYPERLINK("http://www.openstreetmap.org/?mlat=36.1902&amp;mlon=43.4728&amp;zoom=12#map=12/36.1902/43.4728","Maplink1")</f>
        <v>Maplink1</v>
      </c>
      <c r="AU428" s="20" t="str">
        <f>HYPERLINK("https://www.google.iq/maps/search/+36.1902,43.4728/@36.1902,43.4728,14z?hl=en","Maplink2")</f>
        <v>Maplink2</v>
      </c>
      <c r="AV428" s="20" t="str">
        <f>HYPERLINK("http://www.bing.com/maps/?lvl=14&amp;sty=h&amp;cp=36.1902~43.4728&amp;sp=point.36.1902_43.4728","Maplink3")</f>
        <v>Maplink3</v>
      </c>
    </row>
    <row r="429" spans="1:48" x14ac:dyDescent="0.25">
      <c r="A429" s="9">
        <v>17892</v>
      </c>
      <c r="B429" s="10" t="s">
        <v>20</v>
      </c>
      <c r="C429" s="10" t="s">
        <v>882</v>
      </c>
      <c r="D429" s="10" t="s">
        <v>923</v>
      </c>
      <c r="E429" s="10" t="s">
        <v>924</v>
      </c>
      <c r="F429" s="10">
        <v>36.169772999999999</v>
      </c>
      <c r="G429" s="10">
        <v>43.482877000000002</v>
      </c>
      <c r="H429" s="11">
        <v>21</v>
      </c>
      <c r="I429" s="11">
        <v>126</v>
      </c>
      <c r="J429" s="11"/>
      <c r="K429" s="11"/>
      <c r="L429" s="11">
        <v>7</v>
      </c>
      <c r="M429" s="11"/>
      <c r="N429" s="11"/>
      <c r="O429" s="11"/>
      <c r="P429" s="11">
        <v>13</v>
      </c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>
        <v>1</v>
      </c>
      <c r="AB429" s="11"/>
      <c r="AC429" s="11">
        <v>21</v>
      </c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>
        <v>21</v>
      </c>
      <c r="AP429" s="11"/>
      <c r="AQ429" s="11"/>
      <c r="AR429" s="11"/>
      <c r="AS429" s="11"/>
      <c r="AT429" s="20" t="str">
        <f>HYPERLINK("http://www.openstreetmap.org/?mlat=36.1698&amp;mlon=43.4829&amp;zoom=12#map=12/36.1698/43.4829","Maplink1")</f>
        <v>Maplink1</v>
      </c>
      <c r="AU429" s="20" t="str">
        <f>HYPERLINK("https://www.google.iq/maps/search/+36.1698,43.4829/@36.1698,43.4829,14z?hl=en","Maplink2")</f>
        <v>Maplink2</v>
      </c>
      <c r="AV429" s="20" t="str">
        <f>HYPERLINK("http://www.bing.com/maps/?lvl=14&amp;sty=h&amp;cp=36.1698~43.4829&amp;sp=point.36.1698_43.4829","Maplink3")</f>
        <v>Maplink3</v>
      </c>
    </row>
    <row r="430" spans="1:48" x14ac:dyDescent="0.25">
      <c r="A430" s="9">
        <v>23410</v>
      </c>
      <c r="B430" s="10" t="s">
        <v>20</v>
      </c>
      <c r="C430" s="10" t="s">
        <v>882</v>
      </c>
      <c r="D430" s="10" t="s">
        <v>925</v>
      </c>
      <c r="E430" s="10" t="s">
        <v>926</v>
      </c>
      <c r="F430" s="10">
        <v>36.051335999999999</v>
      </c>
      <c r="G430" s="10">
        <v>43.331094</v>
      </c>
      <c r="H430" s="11">
        <v>200</v>
      </c>
      <c r="I430" s="11">
        <v>1200</v>
      </c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>
        <v>200</v>
      </c>
      <c r="W430" s="11"/>
      <c r="X430" s="11"/>
      <c r="Y430" s="11"/>
      <c r="Z430" s="11"/>
      <c r="AA430" s="11"/>
      <c r="AB430" s="11"/>
      <c r="AC430" s="11">
        <v>200</v>
      </c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>
        <v>200</v>
      </c>
      <c r="AT430" s="20" t="str">
        <f>HYPERLINK("http://www.openstreetmap.org/?mlat=36.0513&amp;mlon=43.3311&amp;zoom=12#map=12/36.0513/43.3311","Maplink1")</f>
        <v>Maplink1</v>
      </c>
      <c r="AU430" s="20" t="str">
        <f>HYPERLINK("https://www.google.iq/maps/search/+36.0513,43.3311/@36.0513,43.3311,14z?hl=en","Maplink2")</f>
        <v>Maplink2</v>
      </c>
      <c r="AV430" s="20" t="str">
        <f>HYPERLINK("http://www.bing.com/maps/?lvl=14&amp;sty=h&amp;cp=36.0513~43.3311&amp;sp=point.36.0513_43.3311","Maplink3")</f>
        <v>Maplink3</v>
      </c>
    </row>
    <row r="431" spans="1:48" x14ac:dyDescent="0.25">
      <c r="A431" s="9">
        <v>21939</v>
      </c>
      <c r="B431" s="10" t="s">
        <v>20</v>
      </c>
      <c r="C431" s="10" t="s">
        <v>882</v>
      </c>
      <c r="D431" s="10" t="s">
        <v>927</v>
      </c>
      <c r="E431" s="10" t="s">
        <v>928</v>
      </c>
      <c r="F431" s="10">
        <v>36.321536000000002</v>
      </c>
      <c r="G431" s="10">
        <v>43.448915</v>
      </c>
      <c r="H431" s="11">
        <v>259</v>
      </c>
      <c r="I431" s="11">
        <v>1554</v>
      </c>
      <c r="J431" s="11"/>
      <c r="K431" s="11"/>
      <c r="L431" s="11"/>
      <c r="M431" s="11"/>
      <c r="N431" s="11"/>
      <c r="O431" s="11"/>
      <c r="P431" s="11">
        <v>188</v>
      </c>
      <c r="Q431" s="11"/>
      <c r="R431" s="11"/>
      <c r="S431" s="11"/>
      <c r="T431" s="11"/>
      <c r="U431" s="11"/>
      <c r="V431" s="11">
        <v>51</v>
      </c>
      <c r="W431" s="11"/>
      <c r="X431" s="11"/>
      <c r="Y431" s="11"/>
      <c r="Z431" s="11"/>
      <c r="AA431" s="11">
        <v>20</v>
      </c>
      <c r="AB431" s="11"/>
      <c r="AC431" s="11">
        <v>259</v>
      </c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>
        <v>259</v>
      </c>
      <c r="AP431" s="11"/>
      <c r="AQ431" s="11"/>
      <c r="AR431" s="11"/>
      <c r="AS431" s="11"/>
      <c r="AT431" s="20" t="str">
        <f>HYPERLINK("http://www.openstreetmap.org/?mlat=36.3215&amp;mlon=43.4489&amp;zoom=12#map=12/36.3215/43.4489","Maplink1")</f>
        <v>Maplink1</v>
      </c>
      <c r="AU431" s="20" t="str">
        <f>HYPERLINK("https://www.google.iq/maps/search/+36.3215,43.4489/@36.3215,43.4489,14z?hl=en","Maplink2")</f>
        <v>Maplink2</v>
      </c>
      <c r="AV431" s="20" t="str">
        <f>HYPERLINK("http://www.bing.com/maps/?lvl=14&amp;sty=h&amp;cp=36.3215~43.4489&amp;sp=point.36.3215_43.4489","Maplink3")</f>
        <v>Maplink3</v>
      </c>
    </row>
    <row r="432" spans="1:48" x14ac:dyDescent="0.25">
      <c r="A432" s="9">
        <v>22216</v>
      </c>
      <c r="B432" s="10" t="s">
        <v>20</v>
      </c>
      <c r="C432" s="10" t="s">
        <v>882</v>
      </c>
      <c r="D432" s="10" t="s">
        <v>929</v>
      </c>
      <c r="E432" s="10" t="s">
        <v>930</v>
      </c>
      <c r="F432" s="10">
        <v>36.318866999999997</v>
      </c>
      <c r="G432" s="10">
        <v>43.472698999999999</v>
      </c>
      <c r="H432" s="11">
        <v>27</v>
      </c>
      <c r="I432" s="11">
        <v>162</v>
      </c>
      <c r="J432" s="11"/>
      <c r="K432" s="11"/>
      <c r="L432" s="11"/>
      <c r="M432" s="11"/>
      <c r="N432" s="11"/>
      <c r="O432" s="11"/>
      <c r="P432" s="11">
        <v>24</v>
      </c>
      <c r="Q432" s="11"/>
      <c r="R432" s="11">
        <v>1</v>
      </c>
      <c r="S432" s="11"/>
      <c r="T432" s="11"/>
      <c r="U432" s="11"/>
      <c r="V432" s="11"/>
      <c r="W432" s="11"/>
      <c r="X432" s="11"/>
      <c r="Y432" s="11">
        <v>2</v>
      </c>
      <c r="Z432" s="11"/>
      <c r="AA432" s="11"/>
      <c r="AB432" s="11"/>
      <c r="AC432" s="11">
        <v>27</v>
      </c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>
        <v>27</v>
      </c>
      <c r="AP432" s="11"/>
      <c r="AQ432" s="11"/>
      <c r="AR432" s="11"/>
      <c r="AS432" s="11"/>
      <c r="AT432" s="20" t="str">
        <f>HYPERLINK("http://www.openstreetmap.org/?mlat=36.3189&amp;mlon=43.4727&amp;zoom=12#map=12/36.3189/43.4727","Maplink1")</f>
        <v>Maplink1</v>
      </c>
      <c r="AU432" s="20" t="str">
        <f>HYPERLINK("https://www.google.iq/maps/search/+36.3189,43.4727/@36.3189,43.4727,14z?hl=en","Maplink2")</f>
        <v>Maplink2</v>
      </c>
      <c r="AV432" s="20" t="str">
        <f>HYPERLINK("http://www.bing.com/maps/?lvl=14&amp;sty=h&amp;cp=36.3189~43.4727&amp;sp=point.36.3189_43.4727","Maplink3")</f>
        <v>Maplink3</v>
      </c>
    </row>
    <row r="433" spans="1:48" x14ac:dyDescent="0.25">
      <c r="A433" s="9">
        <v>17930</v>
      </c>
      <c r="B433" s="10" t="s">
        <v>20</v>
      </c>
      <c r="C433" s="10" t="s">
        <v>882</v>
      </c>
      <c r="D433" s="10" t="s">
        <v>931</v>
      </c>
      <c r="E433" s="10" t="s">
        <v>932</v>
      </c>
      <c r="F433" s="10">
        <v>36.343992999999998</v>
      </c>
      <c r="G433" s="10">
        <v>43.325750999999997</v>
      </c>
      <c r="H433" s="11">
        <v>119</v>
      </c>
      <c r="I433" s="11">
        <v>714</v>
      </c>
      <c r="J433" s="11"/>
      <c r="K433" s="11"/>
      <c r="L433" s="11">
        <v>5</v>
      </c>
      <c r="M433" s="11"/>
      <c r="N433" s="11">
        <v>4</v>
      </c>
      <c r="O433" s="11"/>
      <c r="P433" s="11">
        <v>95</v>
      </c>
      <c r="Q433" s="11"/>
      <c r="R433" s="11"/>
      <c r="S433" s="11"/>
      <c r="T433" s="11"/>
      <c r="U433" s="11">
        <v>3</v>
      </c>
      <c r="V433" s="11">
        <v>12</v>
      </c>
      <c r="W433" s="11"/>
      <c r="X433" s="11"/>
      <c r="Y433" s="11"/>
      <c r="Z433" s="11"/>
      <c r="AA433" s="11"/>
      <c r="AB433" s="11"/>
      <c r="AC433" s="11">
        <v>119</v>
      </c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>
        <v>119</v>
      </c>
      <c r="AP433" s="11"/>
      <c r="AQ433" s="11"/>
      <c r="AR433" s="11"/>
      <c r="AS433" s="11"/>
      <c r="AT433" s="20" t="str">
        <f>HYPERLINK("http://www.openstreetmap.org/?mlat=36.344&amp;mlon=43.3258&amp;zoom=12#map=12/36.344/43.3258","Maplink1")</f>
        <v>Maplink1</v>
      </c>
      <c r="AU433" s="20" t="str">
        <f>HYPERLINK("https://www.google.iq/maps/search/+36.344,43.3258/@36.344,43.3258,14z?hl=en","Maplink2")</f>
        <v>Maplink2</v>
      </c>
      <c r="AV433" s="20" t="str">
        <f>HYPERLINK("http://www.bing.com/maps/?lvl=14&amp;sty=h&amp;cp=36.344~43.3258&amp;sp=point.36.344_43.3258","Maplink3")</f>
        <v>Maplink3</v>
      </c>
    </row>
    <row r="434" spans="1:48" x14ac:dyDescent="0.25">
      <c r="A434" s="9">
        <v>29613</v>
      </c>
      <c r="B434" s="10" t="s">
        <v>20</v>
      </c>
      <c r="C434" s="10" t="s">
        <v>882</v>
      </c>
      <c r="D434" s="10" t="s">
        <v>933</v>
      </c>
      <c r="E434" s="10" t="s">
        <v>934</v>
      </c>
      <c r="F434" s="10">
        <v>36.208440000000003</v>
      </c>
      <c r="G434" s="10">
        <v>43.537964000000002</v>
      </c>
      <c r="H434" s="11">
        <v>540</v>
      </c>
      <c r="I434" s="11">
        <v>3240</v>
      </c>
      <c r="J434" s="11"/>
      <c r="K434" s="11"/>
      <c r="L434" s="11"/>
      <c r="M434" s="11"/>
      <c r="N434" s="11">
        <v>50</v>
      </c>
      <c r="O434" s="11"/>
      <c r="P434" s="11">
        <v>485</v>
      </c>
      <c r="Q434" s="11"/>
      <c r="R434" s="11">
        <v>5</v>
      </c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>
        <v>534</v>
      </c>
      <c r="AD434" s="11"/>
      <c r="AE434" s="11"/>
      <c r="AF434" s="11"/>
      <c r="AG434" s="11"/>
      <c r="AH434" s="11"/>
      <c r="AI434" s="11"/>
      <c r="AJ434" s="11"/>
      <c r="AK434" s="11">
        <v>6</v>
      </c>
      <c r="AL434" s="11"/>
      <c r="AM434" s="11"/>
      <c r="AN434" s="11"/>
      <c r="AO434" s="11">
        <v>540</v>
      </c>
      <c r="AP434" s="11"/>
      <c r="AQ434" s="11"/>
      <c r="AR434" s="11"/>
      <c r="AS434" s="11"/>
      <c r="AT434" s="20" t="str">
        <f>HYPERLINK("http://www.openstreetmap.org/?mlat=36.2084&amp;mlon=43.538&amp;zoom=12#map=12/36.2084/43.538","Maplink1")</f>
        <v>Maplink1</v>
      </c>
      <c r="AU434" s="20" t="str">
        <f>HYPERLINK("https://www.google.iq/maps/search/+36.2084,43.538/@36.2084,43.538,14z?hl=en","Maplink2")</f>
        <v>Maplink2</v>
      </c>
      <c r="AV434" s="20" t="str">
        <f>HYPERLINK("http://www.bing.com/maps/?lvl=14&amp;sty=h&amp;cp=36.2084~43.538&amp;sp=point.36.2084_43.538","Maplink3")</f>
        <v>Maplink3</v>
      </c>
    </row>
    <row r="435" spans="1:48" x14ac:dyDescent="0.25">
      <c r="A435" s="9">
        <v>22219</v>
      </c>
      <c r="B435" s="10" t="s">
        <v>20</v>
      </c>
      <c r="C435" s="10" t="s">
        <v>882</v>
      </c>
      <c r="D435" s="10" t="s">
        <v>935</v>
      </c>
      <c r="E435" s="10" t="s">
        <v>936</v>
      </c>
      <c r="F435" s="10">
        <v>36.349040000000002</v>
      </c>
      <c r="G435" s="10">
        <v>43.352899999999998</v>
      </c>
      <c r="H435" s="11">
        <v>133</v>
      </c>
      <c r="I435" s="11">
        <v>798</v>
      </c>
      <c r="J435" s="11"/>
      <c r="K435" s="11">
        <v>14</v>
      </c>
      <c r="L435" s="11">
        <v>12</v>
      </c>
      <c r="M435" s="11"/>
      <c r="N435" s="11"/>
      <c r="O435" s="11"/>
      <c r="P435" s="11">
        <v>32</v>
      </c>
      <c r="Q435" s="11">
        <v>15</v>
      </c>
      <c r="R435" s="11"/>
      <c r="S435" s="11">
        <v>5</v>
      </c>
      <c r="T435" s="11">
        <v>5</v>
      </c>
      <c r="U435" s="11">
        <v>13</v>
      </c>
      <c r="V435" s="11"/>
      <c r="W435" s="11">
        <v>5</v>
      </c>
      <c r="X435" s="11"/>
      <c r="Y435" s="11">
        <v>10</v>
      </c>
      <c r="Z435" s="11">
        <v>5</v>
      </c>
      <c r="AA435" s="11">
        <v>17</v>
      </c>
      <c r="AB435" s="11"/>
      <c r="AC435" s="11">
        <v>133</v>
      </c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>
        <v>133</v>
      </c>
      <c r="AP435" s="11"/>
      <c r="AQ435" s="11"/>
      <c r="AR435" s="11"/>
      <c r="AS435" s="11"/>
      <c r="AT435" s="20" t="str">
        <f>HYPERLINK("http://www.openstreetmap.org/?mlat=36.349&amp;mlon=43.3529&amp;zoom=12#map=12/36.349/43.3529","Maplink1")</f>
        <v>Maplink1</v>
      </c>
      <c r="AU435" s="20" t="str">
        <f>HYPERLINK("https://www.google.iq/maps/search/+36.349,43.3529/@36.349,43.3529,14z?hl=en","Maplink2")</f>
        <v>Maplink2</v>
      </c>
      <c r="AV435" s="20" t="str">
        <f>HYPERLINK("http://www.bing.com/maps/?lvl=14&amp;sty=h&amp;cp=36.349~43.3529&amp;sp=point.36.349_43.3529","Maplink3")</f>
        <v>Maplink3</v>
      </c>
    </row>
    <row r="436" spans="1:48" x14ac:dyDescent="0.25">
      <c r="A436" s="9">
        <v>17366</v>
      </c>
      <c r="B436" s="10" t="s">
        <v>20</v>
      </c>
      <c r="C436" s="10" t="s">
        <v>882</v>
      </c>
      <c r="D436" s="10" t="s">
        <v>937</v>
      </c>
      <c r="E436" s="10" t="s">
        <v>938</v>
      </c>
      <c r="F436" s="10">
        <v>36.183857000000003</v>
      </c>
      <c r="G436" s="10">
        <v>43.538722999999997</v>
      </c>
      <c r="H436" s="11">
        <v>545</v>
      </c>
      <c r="I436" s="11">
        <v>3270</v>
      </c>
      <c r="J436" s="11"/>
      <c r="K436" s="11"/>
      <c r="L436" s="11"/>
      <c r="M436" s="11"/>
      <c r="N436" s="11">
        <v>153</v>
      </c>
      <c r="O436" s="11"/>
      <c r="P436" s="11">
        <v>392</v>
      </c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>
        <v>535</v>
      </c>
      <c r="AD436" s="11"/>
      <c r="AE436" s="11"/>
      <c r="AF436" s="11"/>
      <c r="AG436" s="11"/>
      <c r="AH436" s="11"/>
      <c r="AI436" s="11"/>
      <c r="AJ436" s="11"/>
      <c r="AK436" s="11">
        <v>10</v>
      </c>
      <c r="AL436" s="11"/>
      <c r="AM436" s="11"/>
      <c r="AN436" s="11"/>
      <c r="AO436" s="11">
        <v>545</v>
      </c>
      <c r="AP436" s="11"/>
      <c r="AQ436" s="11"/>
      <c r="AR436" s="11"/>
      <c r="AS436" s="11"/>
      <c r="AT436" s="20" t="str">
        <f>HYPERLINK("http://www.openstreetmap.org/?mlat=36.1839&amp;mlon=43.5387&amp;zoom=12#map=12/36.1839/43.5387","Maplink1")</f>
        <v>Maplink1</v>
      </c>
      <c r="AU436" s="20" t="str">
        <f>HYPERLINK("https://www.google.iq/maps/search/+36.1839,43.5387/@36.1839,43.5387,14z?hl=en","Maplink2")</f>
        <v>Maplink2</v>
      </c>
      <c r="AV436" s="20" t="str">
        <f>HYPERLINK("http://www.bing.com/maps/?lvl=14&amp;sty=h&amp;cp=36.1839~43.5387&amp;sp=point.36.1839_43.5387","Maplink3")</f>
        <v>Maplink3</v>
      </c>
    </row>
    <row r="437" spans="1:48" x14ac:dyDescent="0.25">
      <c r="A437" s="9">
        <v>22215</v>
      </c>
      <c r="B437" s="10" t="s">
        <v>20</v>
      </c>
      <c r="C437" s="10" t="s">
        <v>939</v>
      </c>
      <c r="D437" s="10" t="s">
        <v>940</v>
      </c>
      <c r="E437" s="10" t="s">
        <v>941</v>
      </c>
      <c r="F437" s="10">
        <v>36.411999999999999</v>
      </c>
      <c r="G437" s="10">
        <v>43.317500000000003</v>
      </c>
      <c r="H437" s="11">
        <v>648</v>
      </c>
      <c r="I437" s="11">
        <v>3888</v>
      </c>
      <c r="J437" s="11"/>
      <c r="K437" s="11"/>
      <c r="L437" s="11"/>
      <c r="M437" s="11">
        <v>2</v>
      </c>
      <c r="N437" s="11">
        <v>35</v>
      </c>
      <c r="O437" s="11"/>
      <c r="P437" s="11">
        <v>60</v>
      </c>
      <c r="Q437" s="11"/>
      <c r="R437" s="11"/>
      <c r="S437" s="11">
        <v>2</v>
      </c>
      <c r="T437" s="11"/>
      <c r="U437" s="11">
        <v>7</v>
      </c>
      <c r="V437" s="11">
        <v>542</v>
      </c>
      <c r="W437" s="11"/>
      <c r="X437" s="11"/>
      <c r="Y437" s="11"/>
      <c r="Z437" s="11"/>
      <c r="AA437" s="11"/>
      <c r="AB437" s="11"/>
      <c r="AC437" s="11">
        <v>648</v>
      </c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>
        <v>288</v>
      </c>
      <c r="AP437" s="11"/>
      <c r="AQ437" s="11"/>
      <c r="AR437" s="11"/>
      <c r="AS437" s="11">
        <v>360</v>
      </c>
      <c r="AT437" s="20" t="str">
        <f>HYPERLINK("http://www.openstreetmap.org/?mlat=36.412&amp;mlon=43.3175&amp;zoom=12#map=12/36.412/43.3175","Maplink1")</f>
        <v>Maplink1</v>
      </c>
      <c r="AU437" s="20" t="str">
        <f>HYPERLINK("https://www.google.iq/maps/search/+36.412,43.3175/@36.412,43.3175,14z?hl=en","Maplink2")</f>
        <v>Maplink2</v>
      </c>
      <c r="AV437" s="20" t="str">
        <f>HYPERLINK("http://www.bing.com/maps/?lvl=14&amp;sty=h&amp;cp=36.412~43.3175&amp;sp=point.36.412_43.3175","Maplink3")</f>
        <v>Maplink3</v>
      </c>
    </row>
    <row r="438" spans="1:48" x14ac:dyDescent="0.25">
      <c r="A438" s="9">
        <v>31994</v>
      </c>
      <c r="B438" s="10" t="s">
        <v>20</v>
      </c>
      <c r="C438" s="10" t="s">
        <v>939</v>
      </c>
      <c r="D438" s="10" t="s">
        <v>942</v>
      </c>
      <c r="E438" s="10" t="s">
        <v>943</v>
      </c>
      <c r="F438" s="10">
        <v>36.224800000000002</v>
      </c>
      <c r="G438" s="10">
        <v>43.160670000000003</v>
      </c>
      <c r="H438" s="11">
        <v>75</v>
      </c>
      <c r="I438" s="11">
        <v>450</v>
      </c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>
        <v>75</v>
      </c>
      <c r="W438" s="11"/>
      <c r="X438" s="11"/>
      <c r="Y438" s="11"/>
      <c r="Z438" s="11"/>
      <c r="AA438" s="11"/>
      <c r="AB438" s="11"/>
      <c r="AC438" s="11">
        <v>75</v>
      </c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>
        <v>75</v>
      </c>
      <c r="AT438" s="20" t="str">
        <f>HYPERLINK("http://www.openstreetmap.org/?mlat=36.2248&amp;mlon=43.1607&amp;zoom=12#map=12/36.2248/43.1607","Maplink1")</f>
        <v>Maplink1</v>
      </c>
      <c r="AU438" s="20" t="str">
        <f>HYPERLINK("https://www.google.iq/maps/search/+36.2248,43.1607/@36.2248,43.1607,14z?hl=en","Maplink2")</f>
        <v>Maplink2</v>
      </c>
      <c r="AV438" s="20" t="str">
        <f>HYPERLINK("http://www.bing.com/maps/?lvl=14&amp;sty=h&amp;cp=36.2248~43.1607&amp;sp=point.36.2248_43.1607","Maplink3")</f>
        <v>Maplink3</v>
      </c>
    </row>
    <row r="439" spans="1:48" x14ac:dyDescent="0.25">
      <c r="A439" s="9">
        <v>25812</v>
      </c>
      <c r="B439" s="10" t="s">
        <v>20</v>
      </c>
      <c r="C439" s="10" t="s">
        <v>939</v>
      </c>
      <c r="D439" s="10" t="s">
        <v>944</v>
      </c>
      <c r="E439" s="10" t="s">
        <v>945</v>
      </c>
      <c r="F439" s="10">
        <v>36.472342210000001</v>
      </c>
      <c r="G439" s="10">
        <v>43.435678600000003</v>
      </c>
      <c r="H439" s="11">
        <v>52</v>
      </c>
      <c r="I439" s="11">
        <v>312</v>
      </c>
      <c r="J439" s="11"/>
      <c r="K439" s="11"/>
      <c r="L439" s="11"/>
      <c r="M439" s="11"/>
      <c r="N439" s="11">
        <v>32</v>
      </c>
      <c r="O439" s="11"/>
      <c r="P439" s="11">
        <v>20</v>
      </c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>
        <v>52</v>
      </c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>
        <v>52</v>
      </c>
      <c r="AP439" s="11"/>
      <c r="AQ439" s="11"/>
      <c r="AR439" s="11"/>
      <c r="AS439" s="11"/>
      <c r="AT439" s="20" t="str">
        <f>HYPERLINK("http://www.openstreetmap.org/?mlat=36.4723&amp;mlon=43.4357&amp;zoom=12#map=12/36.4723/43.4357","Maplink1")</f>
        <v>Maplink1</v>
      </c>
      <c r="AU439" s="20" t="str">
        <f>HYPERLINK("https://www.google.iq/maps/search/+36.4723,43.4357/@36.4723,43.4357,14z?hl=en","Maplink2")</f>
        <v>Maplink2</v>
      </c>
      <c r="AV439" s="20" t="str">
        <f>HYPERLINK("http://www.bing.com/maps/?lvl=14&amp;sty=h&amp;cp=36.4723~43.4357&amp;sp=point.36.4723_43.4357","Maplink3")</f>
        <v>Maplink3</v>
      </c>
    </row>
    <row r="440" spans="1:48" x14ac:dyDescent="0.25">
      <c r="A440" s="9">
        <v>17515</v>
      </c>
      <c r="B440" s="10" t="s">
        <v>20</v>
      </c>
      <c r="C440" s="10" t="s">
        <v>939</v>
      </c>
      <c r="D440" s="10" t="s">
        <v>946</v>
      </c>
      <c r="E440" s="10" t="s">
        <v>947</v>
      </c>
      <c r="F440" s="10">
        <v>35.738433000000001</v>
      </c>
      <c r="G440" s="10">
        <v>43.313799000000003</v>
      </c>
      <c r="H440" s="11">
        <v>2200</v>
      </c>
      <c r="I440" s="11">
        <v>13200</v>
      </c>
      <c r="J440" s="11"/>
      <c r="K440" s="11"/>
      <c r="L440" s="11"/>
      <c r="M440" s="11"/>
      <c r="N440" s="11"/>
      <c r="O440" s="11"/>
      <c r="P440" s="11">
        <v>1500</v>
      </c>
      <c r="Q440" s="11"/>
      <c r="R440" s="11">
        <v>400</v>
      </c>
      <c r="S440" s="11"/>
      <c r="T440" s="11"/>
      <c r="U440" s="11"/>
      <c r="V440" s="11">
        <v>300</v>
      </c>
      <c r="W440" s="11"/>
      <c r="X440" s="11"/>
      <c r="Y440" s="11"/>
      <c r="Z440" s="11"/>
      <c r="AA440" s="11"/>
      <c r="AB440" s="11"/>
      <c r="AC440" s="11">
        <v>2200</v>
      </c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>
        <v>2200</v>
      </c>
      <c r="AS440" s="11"/>
      <c r="AT440" s="20" t="str">
        <f>HYPERLINK("http://www.openstreetmap.org/?mlat=35.7384&amp;mlon=43.3138&amp;zoom=12#map=12/35.7384/43.3138","Maplink1")</f>
        <v>Maplink1</v>
      </c>
      <c r="AU440" s="20" t="str">
        <f>HYPERLINK("https://www.google.iq/maps/search/+35.7384,43.3138/@35.7384,43.3138,14z?hl=en","Maplink2")</f>
        <v>Maplink2</v>
      </c>
      <c r="AV440" s="20" t="str">
        <f>HYPERLINK("http://www.bing.com/maps/?lvl=14&amp;sty=h&amp;cp=35.7384~43.3138&amp;sp=point.35.7384_43.3138","Maplink3")</f>
        <v>Maplink3</v>
      </c>
    </row>
    <row r="441" spans="1:48" x14ac:dyDescent="0.25">
      <c r="A441" s="9">
        <v>29701</v>
      </c>
      <c r="B441" s="10" t="s">
        <v>20</v>
      </c>
      <c r="C441" s="10" t="s">
        <v>939</v>
      </c>
      <c r="D441" s="10" t="s">
        <v>948</v>
      </c>
      <c r="E441" s="10" t="s">
        <v>949</v>
      </c>
      <c r="F441" s="10">
        <v>35.772404000000002</v>
      </c>
      <c r="G441" s="10">
        <v>43.284630999999997</v>
      </c>
      <c r="H441" s="11">
        <v>45</v>
      </c>
      <c r="I441" s="11">
        <v>270</v>
      </c>
      <c r="J441" s="11"/>
      <c r="K441" s="11"/>
      <c r="L441" s="11"/>
      <c r="M441" s="11"/>
      <c r="N441" s="11"/>
      <c r="O441" s="11"/>
      <c r="P441" s="11"/>
      <c r="Q441" s="11"/>
      <c r="R441" s="11">
        <v>8</v>
      </c>
      <c r="S441" s="11"/>
      <c r="T441" s="11"/>
      <c r="U441" s="11"/>
      <c r="V441" s="11">
        <v>28</v>
      </c>
      <c r="W441" s="11"/>
      <c r="X441" s="11">
        <v>9</v>
      </c>
      <c r="Y441" s="11"/>
      <c r="Z441" s="11"/>
      <c r="AA441" s="11"/>
      <c r="AB441" s="11"/>
      <c r="AC441" s="11">
        <v>45</v>
      </c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>
        <v>30</v>
      </c>
      <c r="AS441" s="11">
        <v>15</v>
      </c>
      <c r="AT441" s="20" t="str">
        <f>HYPERLINK("http://www.openstreetmap.org/?mlat=35.7724&amp;mlon=43.2846&amp;zoom=12#map=12/35.7724/43.2846","Maplink1")</f>
        <v>Maplink1</v>
      </c>
      <c r="AU441" s="20" t="str">
        <f>HYPERLINK("https://www.google.iq/maps/search/+35.7724,43.2846/@35.7724,43.2846,14z?hl=en","Maplink2")</f>
        <v>Maplink2</v>
      </c>
      <c r="AV441" s="20" t="str">
        <f>HYPERLINK("http://www.bing.com/maps/?lvl=14&amp;sty=h&amp;cp=35.7724~43.2846&amp;sp=point.35.7724_43.2846","Maplink3")</f>
        <v>Maplink3</v>
      </c>
    </row>
    <row r="442" spans="1:48" x14ac:dyDescent="0.25">
      <c r="A442" s="9">
        <v>24146</v>
      </c>
      <c r="B442" s="10" t="s">
        <v>20</v>
      </c>
      <c r="C442" s="10" t="s">
        <v>939</v>
      </c>
      <c r="D442" s="10" t="s">
        <v>950</v>
      </c>
      <c r="E442" s="10" t="s">
        <v>951</v>
      </c>
      <c r="F442" s="10">
        <v>36.465271000000001</v>
      </c>
      <c r="G442" s="10">
        <v>43.250424000000002</v>
      </c>
      <c r="H442" s="11">
        <v>130</v>
      </c>
      <c r="I442" s="11">
        <v>780</v>
      </c>
      <c r="J442" s="11"/>
      <c r="K442" s="11"/>
      <c r="L442" s="11"/>
      <c r="M442" s="11"/>
      <c r="N442" s="11">
        <v>25</v>
      </c>
      <c r="O442" s="11"/>
      <c r="P442" s="11">
        <v>3</v>
      </c>
      <c r="Q442" s="11"/>
      <c r="R442" s="11"/>
      <c r="S442" s="11"/>
      <c r="T442" s="11"/>
      <c r="U442" s="11"/>
      <c r="V442" s="11">
        <v>100</v>
      </c>
      <c r="W442" s="11"/>
      <c r="X442" s="11"/>
      <c r="Y442" s="11"/>
      <c r="Z442" s="11"/>
      <c r="AA442" s="11">
        <v>2</v>
      </c>
      <c r="AB442" s="11"/>
      <c r="AC442" s="11">
        <v>130</v>
      </c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>
        <v>130</v>
      </c>
      <c r="AP442" s="11"/>
      <c r="AQ442" s="11"/>
      <c r="AR442" s="11"/>
      <c r="AS442" s="11"/>
      <c r="AT442" s="20" t="str">
        <f>HYPERLINK("http://www.openstreetmap.org/?mlat=36.4653&amp;mlon=43.2504&amp;zoom=12#map=12/36.4653/43.2504","Maplink1")</f>
        <v>Maplink1</v>
      </c>
      <c r="AU442" s="20" t="str">
        <f>HYPERLINK("https://www.google.iq/maps/search/+36.4653,43.2504/@36.4653,43.2504,14z?hl=en","Maplink2")</f>
        <v>Maplink2</v>
      </c>
      <c r="AV442" s="20" t="str">
        <f>HYPERLINK("http://www.bing.com/maps/?lvl=14&amp;sty=h&amp;cp=36.4653~43.2504&amp;sp=point.36.4653_43.2504","Maplink3")</f>
        <v>Maplink3</v>
      </c>
    </row>
    <row r="443" spans="1:48" x14ac:dyDescent="0.25">
      <c r="A443" s="9">
        <v>25811</v>
      </c>
      <c r="B443" s="10" t="s">
        <v>20</v>
      </c>
      <c r="C443" s="10" t="s">
        <v>939</v>
      </c>
      <c r="D443" s="10" t="s">
        <v>952</v>
      </c>
      <c r="E443" s="10" t="s">
        <v>953</v>
      </c>
      <c r="F443" s="10">
        <v>36.486525200000003</v>
      </c>
      <c r="G443" s="10">
        <v>43.429712899999998</v>
      </c>
      <c r="H443" s="11">
        <v>41</v>
      </c>
      <c r="I443" s="11">
        <v>246</v>
      </c>
      <c r="J443" s="11"/>
      <c r="K443" s="11"/>
      <c r="L443" s="11"/>
      <c r="M443" s="11"/>
      <c r="N443" s="11">
        <v>31</v>
      </c>
      <c r="O443" s="11"/>
      <c r="P443" s="11">
        <v>10</v>
      </c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>
        <v>41</v>
      </c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>
        <v>41</v>
      </c>
      <c r="AP443" s="11"/>
      <c r="AQ443" s="11"/>
      <c r="AR443" s="11"/>
      <c r="AS443" s="11"/>
      <c r="AT443" s="20" t="str">
        <f>HYPERLINK("http://www.openstreetmap.org/?mlat=36.4865&amp;mlon=43.4297&amp;zoom=12#map=12/36.4865/43.4297","Maplink1")</f>
        <v>Maplink1</v>
      </c>
      <c r="AU443" s="20" t="str">
        <f>HYPERLINK("https://www.google.iq/maps/search/+36.4865,43.4297/@36.4865,43.4297,14z?hl=en","Maplink2")</f>
        <v>Maplink2</v>
      </c>
      <c r="AV443" s="20" t="str">
        <f>HYPERLINK("http://www.bing.com/maps/?lvl=14&amp;sty=h&amp;cp=36.4865~43.4297&amp;sp=point.36.4865_43.4297","Maplink3")</f>
        <v>Maplink3</v>
      </c>
    </row>
    <row r="444" spans="1:48" x14ac:dyDescent="0.25">
      <c r="A444" s="9">
        <v>31775</v>
      </c>
      <c r="B444" s="10" t="s">
        <v>20</v>
      </c>
      <c r="C444" s="10" t="s">
        <v>939</v>
      </c>
      <c r="D444" s="10" t="s">
        <v>954</v>
      </c>
      <c r="E444" s="10" t="s">
        <v>955</v>
      </c>
      <c r="F444" s="10">
        <v>36.189129999999999</v>
      </c>
      <c r="G444" s="10">
        <v>43.206940000000003</v>
      </c>
      <c r="H444" s="11">
        <v>3000</v>
      </c>
      <c r="I444" s="11">
        <v>18000</v>
      </c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>
        <v>3000</v>
      </c>
      <c r="W444" s="11"/>
      <c r="X444" s="11"/>
      <c r="Y444" s="11"/>
      <c r="Z444" s="11"/>
      <c r="AA444" s="11"/>
      <c r="AB444" s="11"/>
      <c r="AC444" s="11">
        <v>3000</v>
      </c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>
        <v>3000</v>
      </c>
      <c r="AT444" s="20" t="str">
        <f>HYPERLINK("http://www.openstreetmap.org/?mlat=36.1891&amp;mlon=43.2069&amp;zoom=12#map=12/36.1891/43.2069","Maplink1")</f>
        <v>Maplink1</v>
      </c>
      <c r="AU444" s="20" t="str">
        <f>HYPERLINK("https://www.google.iq/maps/search/+36.1891,43.2069/@36.1891,43.2069,14z?hl=en","Maplink2")</f>
        <v>Maplink2</v>
      </c>
      <c r="AV444" s="20" t="str">
        <f>HYPERLINK("http://www.bing.com/maps/?lvl=14&amp;sty=h&amp;cp=36.1891~43.2069&amp;sp=point.36.1891_43.2069","Maplink3")</f>
        <v>Maplink3</v>
      </c>
    </row>
    <row r="445" spans="1:48" s="19" customFormat="1" x14ac:dyDescent="0.25">
      <c r="A445" s="9">
        <v>17744</v>
      </c>
      <c r="B445" s="10" t="s">
        <v>20</v>
      </c>
      <c r="C445" s="10" t="s">
        <v>939</v>
      </c>
      <c r="D445" s="10" t="s">
        <v>956</v>
      </c>
      <c r="E445" s="10" t="s">
        <v>957</v>
      </c>
      <c r="F445" s="10">
        <v>35.783900000000003</v>
      </c>
      <c r="G445" s="10">
        <v>43.309699999999999</v>
      </c>
      <c r="H445" s="11">
        <v>100</v>
      </c>
      <c r="I445" s="11">
        <v>600</v>
      </c>
      <c r="J445" s="11"/>
      <c r="K445" s="11"/>
      <c r="L445" s="11"/>
      <c r="M445" s="11"/>
      <c r="N445" s="11"/>
      <c r="O445" s="11"/>
      <c r="P445" s="11">
        <v>100</v>
      </c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>
        <v>100</v>
      </c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>
        <v>100</v>
      </c>
      <c r="AT445" s="20" t="str">
        <f>HYPERLINK("http://www.openstreetmap.org/?mlat=35.7839&amp;mlon=43.3097&amp;zoom=12#map=12/35.7839/43.3097","Maplink1")</f>
        <v>Maplink1</v>
      </c>
      <c r="AU445" s="20" t="str">
        <f>HYPERLINK("https://www.google.iq/maps/search/+35.7839,43.3097/@35.7839,43.3097,14z?hl=en","Maplink2")</f>
        <v>Maplink2</v>
      </c>
      <c r="AV445" s="20" t="str">
        <f>HYPERLINK("http://www.bing.com/maps/?lvl=14&amp;sty=h&amp;cp=35.7839~43.3097&amp;sp=point.35.7839_43.3097","Maplink3")</f>
        <v>Maplink3</v>
      </c>
    </row>
    <row r="446" spans="1:48" s="19" customFormat="1" x14ac:dyDescent="0.25">
      <c r="A446" s="9">
        <v>18337</v>
      </c>
      <c r="B446" s="10" t="s">
        <v>20</v>
      </c>
      <c r="C446" s="10" t="s">
        <v>939</v>
      </c>
      <c r="D446" s="10" t="s">
        <v>958</v>
      </c>
      <c r="E446" s="10" t="s">
        <v>959</v>
      </c>
      <c r="F446" s="10">
        <v>36.387934000000001</v>
      </c>
      <c r="G446" s="10">
        <v>43.178249000000001</v>
      </c>
      <c r="H446" s="11">
        <v>2</v>
      </c>
      <c r="I446" s="11">
        <v>12</v>
      </c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>
        <v>2</v>
      </c>
      <c r="W446" s="11"/>
      <c r="X446" s="11"/>
      <c r="Y446" s="11"/>
      <c r="Z446" s="11"/>
      <c r="AA446" s="11"/>
      <c r="AB446" s="11"/>
      <c r="AC446" s="11">
        <v>2</v>
      </c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>
        <v>2</v>
      </c>
      <c r="AT446" s="20" t="str">
        <f>HYPERLINK("http://www.openstreetmap.org/?mlat=36.3879&amp;mlon=43.1782&amp;zoom=12#map=12/36.3879/43.1782","Maplink1")</f>
        <v>Maplink1</v>
      </c>
      <c r="AU446" s="20" t="str">
        <f>HYPERLINK("https://www.google.iq/maps/search/+36.3879,43.1782/@36.3879,43.1782,14z?hl=en","Maplink2")</f>
        <v>Maplink2</v>
      </c>
      <c r="AV446" s="20" t="str">
        <f>HYPERLINK("http://www.bing.com/maps/?lvl=14&amp;sty=h&amp;cp=36.3879~43.1782&amp;sp=point.36.3879_43.1782","Maplink3")</f>
        <v>Maplink3</v>
      </c>
    </row>
    <row r="447" spans="1:48" s="19" customFormat="1" x14ac:dyDescent="0.25">
      <c r="A447" s="9">
        <v>31842</v>
      </c>
      <c r="B447" s="10" t="s">
        <v>20</v>
      </c>
      <c r="C447" s="10" t="s">
        <v>939</v>
      </c>
      <c r="D447" s="10" t="s">
        <v>960</v>
      </c>
      <c r="E447" s="10" t="s">
        <v>961</v>
      </c>
      <c r="F447" s="10">
        <v>35.736159999999998</v>
      </c>
      <c r="G447" s="10">
        <v>43.309980000000003</v>
      </c>
      <c r="H447" s="11">
        <v>246</v>
      </c>
      <c r="I447" s="11">
        <v>1476</v>
      </c>
      <c r="J447" s="11"/>
      <c r="K447" s="11"/>
      <c r="L447" s="11"/>
      <c r="M447" s="11"/>
      <c r="N447" s="11"/>
      <c r="O447" s="11"/>
      <c r="P447" s="11">
        <v>241</v>
      </c>
      <c r="Q447" s="11"/>
      <c r="R447" s="11">
        <v>5</v>
      </c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>
        <v>246</v>
      </c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>
        <v>239</v>
      </c>
      <c r="AS447" s="11">
        <v>7</v>
      </c>
      <c r="AT447" s="20" t="str">
        <f>HYPERLINK("http://www.openstreetmap.org/?mlat=35.7362&amp;mlon=43.31&amp;zoom=12#map=12/35.7362/43.31","Maplink1")</f>
        <v>Maplink1</v>
      </c>
      <c r="AU447" s="20" t="str">
        <f>HYPERLINK("https://www.google.iq/maps/search/+35.7362,43.31/@35.7362,43.31,14z?hl=en","Maplink2")</f>
        <v>Maplink2</v>
      </c>
      <c r="AV447" s="20" t="str">
        <f>HYPERLINK("http://www.bing.com/maps/?lvl=14&amp;sty=h&amp;cp=35.7362~43.31&amp;sp=point.35.7362_43.31","Maplink3")</f>
        <v>Maplink3</v>
      </c>
    </row>
    <row r="448" spans="1:48" s="19" customFormat="1" x14ac:dyDescent="0.25">
      <c r="A448" s="9">
        <v>31835</v>
      </c>
      <c r="B448" s="10" t="s">
        <v>20</v>
      </c>
      <c r="C448" s="10" t="s">
        <v>939</v>
      </c>
      <c r="D448" s="10" t="s">
        <v>962</v>
      </c>
      <c r="E448" s="10" t="s">
        <v>963</v>
      </c>
      <c r="F448" s="10">
        <v>35.740090000000002</v>
      </c>
      <c r="G448" s="10">
        <v>43.312240000000003</v>
      </c>
      <c r="H448" s="11">
        <v>800</v>
      </c>
      <c r="I448" s="11">
        <v>4800</v>
      </c>
      <c r="J448" s="11"/>
      <c r="K448" s="11"/>
      <c r="L448" s="11"/>
      <c r="M448" s="11"/>
      <c r="N448" s="11"/>
      <c r="O448" s="11"/>
      <c r="P448" s="11">
        <v>750</v>
      </c>
      <c r="Q448" s="11"/>
      <c r="R448" s="11">
        <v>50</v>
      </c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>
        <v>800</v>
      </c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>
        <v>800</v>
      </c>
      <c r="AS448" s="11"/>
      <c r="AT448" s="20" t="str">
        <f>HYPERLINK("http://www.openstreetmap.org/?mlat=35.7401&amp;mlon=43.3122&amp;zoom=12#map=12/35.7401/43.3122","Maplink1")</f>
        <v>Maplink1</v>
      </c>
      <c r="AU448" s="20" t="str">
        <f>HYPERLINK("https://www.google.iq/maps/search/+35.7401,43.3122/@35.7401,43.3122,14z?hl=en","Maplink2")</f>
        <v>Maplink2</v>
      </c>
      <c r="AV448" s="20" t="str">
        <f>HYPERLINK("http://www.bing.com/maps/?lvl=14&amp;sty=h&amp;cp=35.7401~43.3122&amp;sp=point.35.7401_43.3122","Maplink3")</f>
        <v>Maplink3</v>
      </c>
    </row>
    <row r="449" spans="1:48" s="19" customFormat="1" x14ac:dyDescent="0.25">
      <c r="A449" s="9">
        <v>29649</v>
      </c>
      <c r="B449" s="10" t="s">
        <v>20</v>
      </c>
      <c r="C449" s="10" t="s">
        <v>939</v>
      </c>
      <c r="D449" s="10" t="s">
        <v>964</v>
      </c>
      <c r="E449" s="10" t="s">
        <v>965</v>
      </c>
      <c r="F449" s="10">
        <v>35.8522770561</v>
      </c>
      <c r="G449" s="10">
        <v>43.296961338499997</v>
      </c>
      <c r="H449" s="11">
        <v>180</v>
      </c>
      <c r="I449" s="11">
        <v>1080</v>
      </c>
      <c r="J449" s="11"/>
      <c r="K449" s="11"/>
      <c r="L449" s="11">
        <v>28</v>
      </c>
      <c r="M449" s="11"/>
      <c r="N449" s="11"/>
      <c r="O449" s="11"/>
      <c r="P449" s="11">
        <v>5</v>
      </c>
      <c r="Q449" s="11"/>
      <c r="R449" s="11">
        <v>50</v>
      </c>
      <c r="S449" s="11"/>
      <c r="T449" s="11"/>
      <c r="U449" s="11"/>
      <c r="V449" s="11">
        <v>90</v>
      </c>
      <c r="W449" s="11"/>
      <c r="X449" s="11">
        <v>7</v>
      </c>
      <c r="Y449" s="11"/>
      <c r="Z449" s="11"/>
      <c r="AA449" s="11"/>
      <c r="AB449" s="11"/>
      <c r="AC449" s="11">
        <v>180</v>
      </c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>
        <v>74</v>
      </c>
      <c r="AR449" s="11">
        <v>50</v>
      </c>
      <c r="AS449" s="11">
        <v>56</v>
      </c>
      <c r="AT449" s="20" t="str">
        <f>HYPERLINK("http://www.openstreetmap.org/?mlat=35.8523&amp;mlon=43.297&amp;zoom=12#map=12/35.8523/43.297","Maplink1")</f>
        <v>Maplink1</v>
      </c>
      <c r="AU449" s="20" t="str">
        <f>HYPERLINK("https://www.google.iq/maps/search/+35.8523,43.297/@35.8523,43.297,14z?hl=en","Maplink2")</f>
        <v>Maplink2</v>
      </c>
      <c r="AV449" s="20" t="str">
        <f>HYPERLINK("http://www.bing.com/maps/?lvl=14&amp;sty=h&amp;cp=35.8523~43.297&amp;sp=point.35.8523_43.297","Maplink3")</f>
        <v>Maplink3</v>
      </c>
    </row>
    <row r="450" spans="1:48" s="19" customFormat="1" x14ac:dyDescent="0.25">
      <c r="A450" s="9">
        <v>29663</v>
      </c>
      <c r="B450" s="10" t="s">
        <v>20</v>
      </c>
      <c r="C450" s="10" t="s">
        <v>939</v>
      </c>
      <c r="D450" s="10" t="s">
        <v>966</v>
      </c>
      <c r="E450" s="10" t="s">
        <v>967</v>
      </c>
      <c r="F450" s="10">
        <v>35.746665</v>
      </c>
      <c r="G450" s="10">
        <v>43.280245000000001</v>
      </c>
      <c r="H450" s="11">
        <v>160</v>
      </c>
      <c r="I450" s="11">
        <v>960</v>
      </c>
      <c r="J450" s="11"/>
      <c r="K450" s="11"/>
      <c r="L450" s="11"/>
      <c r="M450" s="11"/>
      <c r="N450" s="11"/>
      <c r="O450" s="11"/>
      <c r="P450" s="11">
        <v>160</v>
      </c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>
        <v>160</v>
      </c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>
        <v>160</v>
      </c>
      <c r="AS450" s="11"/>
      <c r="AT450" s="20" t="str">
        <f>HYPERLINK("http://www.openstreetmap.org/?mlat=35.7467&amp;mlon=43.2802&amp;zoom=12#map=12/35.7467/43.2802","Maplink1")</f>
        <v>Maplink1</v>
      </c>
      <c r="AU450" s="20" t="str">
        <f>HYPERLINK("https://www.google.iq/maps/search/+35.7467,43.2802/@35.7467,43.2802,14z?hl=en","Maplink2")</f>
        <v>Maplink2</v>
      </c>
      <c r="AV450" s="20" t="str">
        <f>HYPERLINK("http://www.bing.com/maps/?lvl=14&amp;sty=h&amp;cp=35.7467~43.2802&amp;sp=point.35.7467_43.2802","Maplink3")</f>
        <v>Maplink3</v>
      </c>
    </row>
    <row r="451" spans="1:48" s="19" customFormat="1" x14ac:dyDescent="0.25">
      <c r="A451" s="9">
        <v>31772</v>
      </c>
      <c r="B451" s="10" t="s">
        <v>20</v>
      </c>
      <c r="C451" s="10" t="s">
        <v>939</v>
      </c>
      <c r="D451" s="10" t="s">
        <v>968</v>
      </c>
      <c r="E451" s="10" t="s">
        <v>969</v>
      </c>
      <c r="F451" s="10">
        <v>36.230620000000002</v>
      </c>
      <c r="G451" s="10">
        <v>43.190820000000002</v>
      </c>
      <c r="H451" s="11">
        <v>40</v>
      </c>
      <c r="I451" s="11">
        <v>240</v>
      </c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>
        <v>40</v>
      </c>
      <c r="W451" s="11"/>
      <c r="X451" s="11"/>
      <c r="Y451" s="11"/>
      <c r="Z451" s="11"/>
      <c r="AA451" s="11"/>
      <c r="AB451" s="11"/>
      <c r="AC451" s="11">
        <v>40</v>
      </c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>
        <v>40</v>
      </c>
      <c r="AT451" s="20" t="str">
        <f>HYPERLINK("http://www.openstreetmap.org/?mlat=36.2306&amp;mlon=43.1908&amp;zoom=12#map=12/36.2306/43.1908","Maplink1")</f>
        <v>Maplink1</v>
      </c>
      <c r="AU451" s="20" t="str">
        <f>HYPERLINK("https://www.google.iq/maps/search/+36.2306,43.1908/@36.2306,43.1908,14z?hl=en","Maplink2")</f>
        <v>Maplink2</v>
      </c>
      <c r="AV451" s="20" t="str">
        <f>HYPERLINK("http://www.bing.com/maps/?lvl=14&amp;sty=h&amp;cp=36.2306~43.1908&amp;sp=point.36.2306_43.1908","Maplink3")</f>
        <v>Maplink3</v>
      </c>
    </row>
    <row r="452" spans="1:48" s="19" customFormat="1" x14ac:dyDescent="0.25">
      <c r="A452" s="9">
        <v>31936</v>
      </c>
      <c r="B452" s="10" t="s">
        <v>20</v>
      </c>
      <c r="C452" s="10" t="s">
        <v>939</v>
      </c>
      <c r="D452" s="10" t="s">
        <v>970</v>
      </c>
      <c r="E452" s="10" t="s">
        <v>971</v>
      </c>
      <c r="F452" s="10">
        <v>35.661461000000003</v>
      </c>
      <c r="G452" s="10">
        <v>43.235230000000001</v>
      </c>
      <c r="H452" s="11">
        <v>600</v>
      </c>
      <c r="I452" s="11">
        <v>3600</v>
      </c>
      <c r="J452" s="11"/>
      <c r="K452" s="11"/>
      <c r="L452" s="11"/>
      <c r="M452" s="11"/>
      <c r="N452" s="11"/>
      <c r="O452" s="11"/>
      <c r="P452" s="11">
        <v>200</v>
      </c>
      <c r="Q452" s="11"/>
      <c r="R452" s="11"/>
      <c r="S452" s="11"/>
      <c r="T452" s="11"/>
      <c r="U452" s="11"/>
      <c r="V452" s="11"/>
      <c r="W452" s="11"/>
      <c r="X452" s="11">
        <v>400</v>
      </c>
      <c r="Y452" s="11"/>
      <c r="Z452" s="11"/>
      <c r="AA452" s="11"/>
      <c r="AB452" s="11"/>
      <c r="AC452" s="11">
        <v>600</v>
      </c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>
        <v>600</v>
      </c>
      <c r="AS452" s="11"/>
      <c r="AT452" s="20" t="str">
        <f>HYPERLINK("http://www.openstreetmap.org/?mlat=35.6615&amp;mlon=43.2352&amp;zoom=12#map=12/35.6615/43.2352","Maplink1")</f>
        <v>Maplink1</v>
      </c>
      <c r="AU452" s="20" t="str">
        <f>HYPERLINK("https://www.google.iq/maps/search/+35.6615,43.2352/@35.6615,43.2352,14z?hl=en","Maplink2")</f>
        <v>Maplink2</v>
      </c>
      <c r="AV452" s="20" t="str">
        <f>HYPERLINK("http://www.bing.com/maps/?lvl=14&amp;sty=h&amp;cp=35.6615~43.2352&amp;sp=point.35.6615_43.2352","Maplink3")</f>
        <v>Maplink3</v>
      </c>
    </row>
    <row r="453" spans="1:48" s="19" customFormat="1" x14ac:dyDescent="0.25">
      <c r="A453" s="9">
        <v>31843</v>
      </c>
      <c r="B453" s="10" t="s">
        <v>20</v>
      </c>
      <c r="C453" s="10" t="s">
        <v>939</v>
      </c>
      <c r="D453" s="10" t="s">
        <v>972</v>
      </c>
      <c r="E453" s="10" t="s">
        <v>973</v>
      </c>
      <c r="F453" s="10">
        <v>35.747799999999998</v>
      </c>
      <c r="G453" s="10">
        <v>43.30303</v>
      </c>
      <c r="H453" s="11">
        <v>182</v>
      </c>
      <c r="I453" s="11">
        <v>1092</v>
      </c>
      <c r="J453" s="11"/>
      <c r="K453" s="11"/>
      <c r="L453" s="11"/>
      <c r="M453" s="11"/>
      <c r="N453" s="11"/>
      <c r="O453" s="11"/>
      <c r="P453" s="11">
        <v>150</v>
      </c>
      <c r="Q453" s="11"/>
      <c r="R453" s="11">
        <v>32</v>
      </c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>
        <v>182</v>
      </c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>
        <v>180</v>
      </c>
      <c r="AS453" s="11">
        <v>2</v>
      </c>
      <c r="AT453" s="20" t="str">
        <f>HYPERLINK("http://www.openstreetmap.org/?mlat=35.7478&amp;mlon=43.303&amp;zoom=12#map=12/35.7478/43.303","Maplink1")</f>
        <v>Maplink1</v>
      </c>
      <c r="AU453" s="20" t="str">
        <f>HYPERLINK("https://www.google.iq/maps/search/+35.7478,43.303/@35.7478,43.303,14z?hl=en","Maplink2")</f>
        <v>Maplink2</v>
      </c>
      <c r="AV453" s="20" t="str">
        <f>HYPERLINK("http://www.bing.com/maps/?lvl=14&amp;sty=h&amp;cp=35.7478~43.303&amp;sp=point.35.7478_43.303","Maplink3")</f>
        <v>Maplink3</v>
      </c>
    </row>
    <row r="454" spans="1:48" s="19" customFormat="1" x14ac:dyDescent="0.25">
      <c r="A454" s="9">
        <v>18339</v>
      </c>
      <c r="B454" s="10" t="s">
        <v>20</v>
      </c>
      <c r="C454" s="10" t="s">
        <v>939</v>
      </c>
      <c r="D454" s="10" t="s">
        <v>974</v>
      </c>
      <c r="E454" s="10" t="s">
        <v>975</v>
      </c>
      <c r="F454" s="10">
        <v>36.343750073400003</v>
      </c>
      <c r="G454" s="10">
        <v>43.213841159600001</v>
      </c>
      <c r="H454" s="11">
        <v>191</v>
      </c>
      <c r="I454" s="11">
        <v>1146</v>
      </c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>
        <v>191</v>
      </c>
      <c r="W454" s="11"/>
      <c r="X454" s="11"/>
      <c r="Y454" s="11"/>
      <c r="Z454" s="11"/>
      <c r="AA454" s="11"/>
      <c r="AB454" s="11"/>
      <c r="AC454" s="11">
        <v>191</v>
      </c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>
        <v>191</v>
      </c>
      <c r="AT454" s="20" t="str">
        <f>HYPERLINK("http://www.openstreetmap.org/?mlat=36.3438&amp;mlon=43.2138&amp;zoom=12#map=12/36.3438/43.2138","Maplink1")</f>
        <v>Maplink1</v>
      </c>
      <c r="AU454" s="20" t="str">
        <f>HYPERLINK("https://www.google.iq/maps/search/+36.3438,43.2138/@36.3438,43.2138,14z?hl=en","Maplink2")</f>
        <v>Maplink2</v>
      </c>
      <c r="AV454" s="20" t="str">
        <f>HYPERLINK("http://www.bing.com/maps/?lvl=14&amp;sty=h&amp;cp=36.3438~43.2138&amp;sp=point.36.3438_43.2138","Maplink3")</f>
        <v>Maplink3</v>
      </c>
    </row>
    <row r="455" spans="1:48" s="19" customFormat="1" x14ac:dyDescent="0.25">
      <c r="A455" s="9">
        <v>31885</v>
      </c>
      <c r="B455" s="10" t="s">
        <v>20</v>
      </c>
      <c r="C455" s="10" t="s">
        <v>939</v>
      </c>
      <c r="D455" s="10" t="s">
        <v>976</v>
      </c>
      <c r="E455" s="10" t="s">
        <v>977</v>
      </c>
      <c r="F455" s="10">
        <v>36.122709999999998</v>
      </c>
      <c r="G455" s="10">
        <v>43.190440000000002</v>
      </c>
      <c r="H455" s="11">
        <v>101</v>
      </c>
      <c r="I455" s="11">
        <v>606</v>
      </c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>
        <v>101</v>
      </c>
      <c r="W455" s="11"/>
      <c r="X455" s="11"/>
      <c r="Y455" s="11"/>
      <c r="Z455" s="11"/>
      <c r="AA455" s="11"/>
      <c r="AB455" s="11"/>
      <c r="AC455" s="11">
        <v>101</v>
      </c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>
        <v>101</v>
      </c>
      <c r="AT455" s="20" t="str">
        <f>HYPERLINK("http://www.openstreetmap.org/?mlat=36.1227&amp;mlon=43.1904&amp;zoom=12#map=12/36.1227/43.1904","Maplink1")</f>
        <v>Maplink1</v>
      </c>
      <c r="AU455" s="20" t="str">
        <f>HYPERLINK("https://www.google.iq/maps/search/+36.1227,43.1904/@36.1227,43.1904,14z?hl=en","Maplink2")</f>
        <v>Maplink2</v>
      </c>
      <c r="AV455" s="20" t="str">
        <f>HYPERLINK("http://www.bing.com/maps/?lvl=14&amp;sty=h&amp;cp=36.1227~43.1904&amp;sp=point.36.1227_43.1904","Maplink3")</f>
        <v>Maplink3</v>
      </c>
    </row>
    <row r="456" spans="1:48" x14ac:dyDescent="0.25">
      <c r="A456" s="9">
        <v>29683</v>
      </c>
      <c r="B456" s="10" t="s">
        <v>20</v>
      </c>
      <c r="C456" s="10" t="s">
        <v>939</v>
      </c>
      <c r="D456" s="10" t="s">
        <v>978</v>
      </c>
      <c r="E456" s="10" t="s">
        <v>979</v>
      </c>
      <c r="F456" s="10">
        <v>36.469630000000002</v>
      </c>
      <c r="G456" s="10">
        <v>43.226260000000003</v>
      </c>
      <c r="H456" s="11">
        <v>82</v>
      </c>
      <c r="I456" s="11">
        <v>492</v>
      </c>
      <c r="J456" s="11"/>
      <c r="K456" s="11"/>
      <c r="L456" s="11"/>
      <c r="M456" s="11"/>
      <c r="N456" s="11">
        <v>70</v>
      </c>
      <c r="O456" s="11"/>
      <c r="P456" s="11"/>
      <c r="Q456" s="11"/>
      <c r="R456" s="11"/>
      <c r="S456" s="11"/>
      <c r="T456" s="11"/>
      <c r="U456" s="11"/>
      <c r="V456" s="11">
        <v>12</v>
      </c>
      <c r="W456" s="11"/>
      <c r="X456" s="11"/>
      <c r="Y456" s="11"/>
      <c r="Z456" s="11"/>
      <c r="AA456" s="11"/>
      <c r="AB456" s="11"/>
      <c r="AC456" s="11">
        <v>82</v>
      </c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>
        <v>70</v>
      </c>
      <c r="AP456" s="11"/>
      <c r="AQ456" s="11"/>
      <c r="AR456" s="11"/>
      <c r="AS456" s="11">
        <v>12</v>
      </c>
      <c r="AT456" s="20" t="str">
        <f>HYPERLINK("http://www.openstreetmap.org/?mlat=36.4696&amp;mlon=43.2263&amp;zoom=12#map=12/36.4696/43.2263","Maplink1")</f>
        <v>Maplink1</v>
      </c>
      <c r="AU456" s="20" t="str">
        <f>HYPERLINK("https://www.google.iq/maps/search/+36.4696,43.2263/@36.4696,43.2263,14z?hl=en","Maplink2")</f>
        <v>Maplink2</v>
      </c>
      <c r="AV456" s="20" t="str">
        <f>HYPERLINK("http://www.bing.com/maps/?lvl=14&amp;sty=h&amp;cp=36.4696~43.2263&amp;sp=point.36.4696_43.2263","Maplink3")</f>
        <v>Maplink3</v>
      </c>
    </row>
    <row r="457" spans="1:48" x14ac:dyDescent="0.25">
      <c r="A457" s="9">
        <v>31769</v>
      </c>
      <c r="B457" s="10" t="s">
        <v>20</v>
      </c>
      <c r="C457" s="10" t="s">
        <v>939</v>
      </c>
      <c r="D457" s="10" t="s">
        <v>980</v>
      </c>
      <c r="E457" s="10" t="s">
        <v>981</v>
      </c>
      <c r="F457" s="10">
        <v>36.538539999999998</v>
      </c>
      <c r="G457" s="10">
        <v>43.237360000000002</v>
      </c>
      <c r="H457" s="11">
        <v>178</v>
      </c>
      <c r="I457" s="11">
        <v>1068</v>
      </c>
      <c r="J457" s="11"/>
      <c r="K457" s="11"/>
      <c r="L457" s="11"/>
      <c r="M457" s="11"/>
      <c r="N457" s="11">
        <v>90</v>
      </c>
      <c r="O457" s="11"/>
      <c r="P457" s="11">
        <v>40</v>
      </c>
      <c r="Q457" s="11"/>
      <c r="R457" s="11"/>
      <c r="S457" s="11"/>
      <c r="T457" s="11"/>
      <c r="U457" s="11"/>
      <c r="V457" s="11">
        <v>48</v>
      </c>
      <c r="W457" s="11"/>
      <c r="X457" s="11"/>
      <c r="Y457" s="11"/>
      <c r="Z457" s="11"/>
      <c r="AA457" s="11"/>
      <c r="AB457" s="11"/>
      <c r="AC457" s="11">
        <v>178</v>
      </c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>
        <v>178</v>
      </c>
      <c r="AP457" s="11"/>
      <c r="AQ457" s="11"/>
      <c r="AR457" s="11"/>
      <c r="AS457" s="11"/>
      <c r="AT457" s="20" t="str">
        <f>HYPERLINK("http://www.openstreetmap.org/?mlat=36.5385&amp;mlon=43.2374&amp;zoom=12#map=12/36.5385/43.2374","Maplink1")</f>
        <v>Maplink1</v>
      </c>
      <c r="AU457" s="20" t="str">
        <f>HYPERLINK("https://www.google.iq/maps/search/+36.5385,43.2374/@36.5385,43.2374,14z?hl=en","Maplink2")</f>
        <v>Maplink2</v>
      </c>
      <c r="AV457" s="20" t="str">
        <f>HYPERLINK("http://www.bing.com/maps/?lvl=14&amp;sty=h&amp;cp=36.5385~43.2374&amp;sp=point.36.5385_43.2374","Maplink3")</f>
        <v>Maplink3</v>
      </c>
    </row>
    <row r="458" spans="1:48" x14ac:dyDescent="0.25">
      <c r="A458" s="9">
        <v>18366</v>
      </c>
      <c r="B458" s="10" t="s">
        <v>20</v>
      </c>
      <c r="C458" s="10" t="s">
        <v>939</v>
      </c>
      <c r="D458" s="10" t="s">
        <v>982</v>
      </c>
      <c r="E458" s="10" t="s">
        <v>983</v>
      </c>
      <c r="F458" s="10">
        <v>36.396299999999997</v>
      </c>
      <c r="G458" s="10">
        <v>43.192599999999999</v>
      </c>
      <c r="H458" s="11">
        <v>20</v>
      </c>
      <c r="I458" s="11">
        <v>120</v>
      </c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>
        <v>20</v>
      </c>
      <c r="W458" s="11"/>
      <c r="X458" s="11"/>
      <c r="Y458" s="11"/>
      <c r="Z458" s="11"/>
      <c r="AA458" s="11"/>
      <c r="AB458" s="11"/>
      <c r="AC458" s="11">
        <v>20</v>
      </c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>
        <v>20</v>
      </c>
      <c r="AT458" s="20" t="str">
        <f>HYPERLINK("http://www.openstreetmap.org/?mlat=36.3963&amp;mlon=43.1926&amp;zoom=12#map=12/36.3963/43.1926","Maplink1")</f>
        <v>Maplink1</v>
      </c>
      <c r="AU458" s="20" t="str">
        <f>HYPERLINK("https://www.google.iq/maps/search/+36.3963,43.1926/@36.3963,43.1926,14z?hl=en","Maplink2")</f>
        <v>Maplink2</v>
      </c>
      <c r="AV458" s="20" t="str">
        <f>HYPERLINK("http://www.bing.com/maps/?lvl=14&amp;sty=h&amp;cp=36.3963~43.1926&amp;sp=point.36.3963_43.1926","Maplink3")</f>
        <v>Maplink3</v>
      </c>
    </row>
    <row r="459" spans="1:48" x14ac:dyDescent="0.25">
      <c r="A459" s="9">
        <v>31883</v>
      </c>
      <c r="B459" s="10" t="s">
        <v>20</v>
      </c>
      <c r="C459" s="10" t="s">
        <v>939</v>
      </c>
      <c r="D459" s="10" t="s">
        <v>984</v>
      </c>
      <c r="E459" s="10" t="s">
        <v>985</v>
      </c>
      <c r="F459" s="10">
        <v>36.131765999999999</v>
      </c>
      <c r="G459" s="10">
        <v>43.206007</v>
      </c>
      <c r="H459" s="11">
        <v>21</v>
      </c>
      <c r="I459" s="11">
        <v>126</v>
      </c>
      <c r="J459" s="11"/>
      <c r="K459" s="11"/>
      <c r="L459" s="11"/>
      <c r="M459" s="11"/>
      <c r="N459" s="11"/>
      <c r="O459" s="11"/>
      <c r="P459" s="11">
        <v>1</v>
      </c>
      <c r="Q459" s="11"/>
      <c r="R459" s="11"/>
      <c r="S459" s="11"/>
      <c r="T459" s="11"/>
      <c r="U459" s="11"/>
      <c r="V459" s="11">
        <v>20</v>
      </c>
      <c r="W459" s="11"/>
      <c r="X459" s="11"/>
      <c r="Y459" s="11"/>
      <c r="Z459" s="11"/>
      <c r="AA459" s="11"/>
      <c r="AB459" s="11"/>
      <c r="AC459" s="11">
        <v>21</v>
      </c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>
        <v>21</v>
      </c>
      <c r="AT459" s="20" t="str">
        <f>HYPERLINK("http://www.openstreetmap.org/?mlat=36.1318&amp;mlon=43.206&amp;zoom=12#map=12/36.1318/43.206","Maplink1")</f>
        <v>Maplink1</v>
      </c>
      <c r="AU459" s="20" t="str">
        <f>HYPERLINK("https://www.google.iq/maps/search/+36.1318,43.206/@36.1318,43.206,14z?hl=en","Maplink2")</f>
        <v>Maplink2</v>
      </c>
      <c r="AV459" s="20" t="str">
        <f>HYPERLINK("http://www.bing.com/maps/?lvl=14&amp;sty=h&amp;cp=36.1318~43.206&amp;sp=point.36.1318_43.206","Maplink3")</f>
        <v>Maplink3</v>
      </c>
    </row>
    <row r="460" spans="1:48" x14ac:dyDescent="0.25">
      <c r="A460" s="9">
        <v>17127</v>
      </c>
      <c r="B460" s="10" t="s">
        <v>20</v>
      </c>
      <c r="C460" s="10" t="s">
        <v>939</v>
      </c>
      <c r="D460" s="10" t="s">
        <v>986</v>
      </c>
      <c r="E460" s="10" t="s">
        <v>987</v>
      </c>
      <c r="F460" s="10">
        <v>35.797600000000003</v>
      </c>
      <c r="G460" s="10">
        <v>43.293199999999999</v>
      </c>
      <c r="H460" s="11">
        <v>600</v>
      </c>
      <c r="I460" s="11">
        <v>3600</v>
      </c>
      <c r="J460" s="11"/>
      <c r="K460" s="11"/>
      <c r="L460" s="11"/>
      <c r="M460" s="11"/>
      <c r="N460" s="11"/>
      <c r="O460" s="11"/>
      <c r="P460" s="11">
        <v>250</v>
      </c>
      <c r="Q460" s="11"/>
      <c r="R460" s="11">
        <v>150</v>
      </c>
      <c r="S460" s="11"/>
      <c r="T460" s="11"/>
      <c r="U460" s="11"/>
      <c r="V460" s="11">
        <v>200</v>
      </c>
      <c r="W460" s="11"/>
      <c r="X460" s="11"/>
      <c r="Y460" s="11"/>
      <c r="Z460" s="11"/>
      <c r="AA460" s="11"/>
      <c r="AB460" s="11"/>
      <c r="AC460" s="11">
        <v>600</v>
      </c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>
        <v>300</v>
      </c>
      <c r="AR460" s="11">
        <v>200</v>
      </c>
      <c r="AS460" s="11">
        <v>100</v>
      </c>
      <c r="AT460" s="20" t="str">
        <f>HYPERLINK("http://www.openstreetmap.org/?mlat=35.7976&amp;mlon=43.2932&amp;zoom=12#map=12/35.7976/43.2932","Maplink1")</f>
        <v>Maplink1</v>
      </c>
      <c r="AU460" s="20" t="str">
        <f>HYPERLINK("https://www.google.iq/maps/search/+35.7976,43.2932/@35.7976,43.2932,14z?hl=en","Maplink2")</f>
        <v>Maplink2</v>
      </c>
      <c r="AV460" s="20" t="str">
        <f>HYPERLINK("http://www.bing.com/maps/?lvl=14&amp;sty=h&amp;cp=35.7976~43.2932&amp;sp=point.35.7976_43.2932","Maplink3")</f>
        <v>Maplink3</v>
      </c>
    </row>
    <row r="461" spans="1:48" x14ac:dyDescent="0.25">
      <c r="A461" s="9">
        <v>31773</v>
      </c>
      <c r="B461" s="10" t="s">
        <v>20</v>
      </c>
      <c r="C461" s="10" t="s">
        <v>939</v>
      </c>
      <c r="D461" s="10" t="s">
        <v>988</v>
      </c>
      <c r="E461" s="10" t="s">
        <v>989</v>
      </c>
      <c r="F461" s="10">
        <v>36.152119999999996</v>
      </c>
      <c r="G461" s="10">
        <v>43.253869999999999</v>
      </c>
      <c r="H461" s="11">
        <v>650</v>
      </c>
      <c r="I461" s="11">
        <v>3900</v>
      </c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>
        <v>650</v>
      </c>
      <c r="W461" s="11"/>
      <c r="X461" s="11"/>
      <c r="Y461" s="11"/>
      <c r="Z461" s="11"/>
      <c r="AA461" s="11"/>
      <c r="AB461" s="11"/>
      <c r="AC461" s="11">
        <v>650</v>
      </c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>
        <v>650</v>
      </c>
      <c r="AT461" s="20" t="str">
        <f>HYPERLINK("http://www.openstreetmap.org/?mlat=36.1521&amp;mlon=43.2539&amp;zoom=12#map=12/36.1521/43.2539","Maplink1")</f>
        <v>Maplink1</v>
      </c>
      <c r="AU461" s="20" t="str">
        <f>HYPERLINK("https://www.google.iq/maps/search/+36.1521,43.2539/@36.1521,43.2539,14z?hl=en","Maplink2")</f>
        <v>Maplink2</v>
      </c>
      <c r="AV461" s="20" t="str">
        <f>HYPERLINK("http://www.bing.com/maps/?lvl=14&amp;sty=h&amp;cp=36.1521~43.2539&amp;sp=point.36.1521_43.2539","Maplink3")</f>
        <v>Maplink3</v>
      </c>
    </row>
    <row r="462" spans="1:48" x14ac:dyDescent="0.25">
      <c r="A462" s="9">
        <v>31888</v>
      </c>
      <c r="B462" s="10" t="s">
        <v>20</v>
      </c>
      <c r="C462" s="10" t="s">
        <v>939</v>
      </c>
      <c r="D462" s="10" t="s">
        <v>990</v>
      </c>
      <c r="E462" s="10" t="s">
        <v>991</v>
      </c>
      <c r="F462" s="10">
        <v>36.245513000000003</v>
      </c>
      <c r="G462" s="10">
        <v>43.151176</v>
      </c>
      <c r="H462" s="11">
        <v>18</v>
      </c>
      <c r="I462" s="11">
        <v>108</v>
      </c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>
        <v>18</v>
      </c>
      <c r="W462" s="11"/>
      <c r="X462" s="11"/>
      <c r="Y462" s="11"/>
      <c r="Z462" s="11"/>
      <c r="AA462" s="11"/>
      <c r="AB462" s="11"/>
      <c r="AC462" s="11">
        <v>18</v>
      </c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>
        <v>18</v>
      </c>
      <c r="AT462" s="20" t="str">
        <f>HYPERLINK("http://www.openstreetmap.org/?mlat=36.2455&amp;mlon=43.1512&amp;zoom=12#map=12/36.2455/43.1512","Maplink1")</f>
        <v>Maplink1</v>
      </c>
      <c r="AU462" s="20" t="str">
        <f>HYPERLINK("https://www.google.iq/maps/search/+36.2455,43.1512/@36.2455,43.1512,14z?hl=en","Maplink2")</f>
        <v>Maplink2</v>
      </c>
      <c r="AV462" s="20" t="str">
        <f>HYPERLINK("http://www.bing.com/maps/?lvl=14&amp;sty=h&amp;cp=36.2455~43.1512&amp;sp=point.36.2455_43.1512","Maplink3")</f>
        <v>Maplink3</v>
      </c>
    </row>
    <row r="463" spans="1:48" x14ac:dyDescent="0.25">
      <c r="A463" s="9">
        <v>23545</v>
      </c>
      <c r="B463" s="10" t="s">
        <v>20</v>
      </c>
      <c r="C463" s="10" t="s">
        <v>939</v>
      </c>
      <c r="D463" s="10" t="s">
        <v>992</v>
      </c>
      <c r="E463" s="10" t="s">
        <v>993</v>
      </c>
      <c r="F463" s="10">
        <v>36.252636000000003</v>
      </c>
      <c r="G463" s="10">
        <v>43.176934000000003</v>
      </c>
      <c r="H463" s="11">
        <v>22</v>
      </c>
      <c r="I463" s="11">
        <v>132</v>
      </c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>
        <v>22</v>
      </c>
      <c r="W463" s="11"/>
      <c r="X463" s="11"/>
      <c r="Y463" s="11"/>
      <c r="Z463" s="11"/>
      <c r="AA463" s="11"/>
      <c r="AB463" s="11"/>
      <c r="AC463" s="11">
        <v>22</v>
      </c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>
        <v>22</v>
      </c>
      <c r="AT463" s="20" t="str">
        <f>HYPERLINK("http://www.openstreetmap.org/?mlat=36.2526&amp;mlon=43.1769&amp;zoom=12#map=12/36.2526/43.1769","Maplink1")</f>
        <v>Maplink1</v>
      </c>
      <c r="AU463" s="20" t="str">
        <f>HYPERLINK("https://www.google.iq/maps/search/+36.2526,43.1769/@36.2526,43.1769,14z?hl=en","Maplink2")</f>
        <v>Maplink2</v>
      </c>
      <c r="AV463" s="20" t="str">
        <f>HYPERLINK("http://www.bing.com/maps/?lvl=14&amp;sty=h&amp;cp=36.2526~43.1769&amp;sp=point.36.2526_43.1769","Maplink3")</f>
        <v>Maplink3</v>
      </c>
    </row>
    <row r="464" spans="1:48" x14ac:dyDescent="0.25">
      <c r="A464" s="9">
        <v>18053</v>
      </c>
      <c r="B464" s="10" t="s">
        <v>20</v>
      </c>
      <c r="C464" s="10" t="s">
        <v>939</v>
      </c>
      <c r="D464" s="10" t="s">
        <v>994</v>
      </c>
      <c r="E464" s="10" t="s">
        <v>995</v>
      </c>
      <c r="F464" s="10">
        <v>35.878512999999998</v>
      </c>
      <c r="G464" s="10">
        <v>43.342401000000002</v>
      </c>
      <c r="H464" s="11">
        <v>60</v>
      </c>
      <c r="I464" s="11">
        <v>360</v>
      </c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>
        <v>60</v>
      </c>
      <c r="W464" s="11"/>
      <c r="X464" s="11"/>
      <c r="Y464" s="11"/>
      <c r="Z464" s="11"/>
      <c r="AA464" s="11"/>
      <c r="AB464" s="11"/>
      <c r="AC464" s="11">
        <v>60</v>
      </c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>
        <v>60</v>
      </c>
      <c r="AT464" s="20" t="str">
        <f>HYPERLINK("http://www.openstreetmap.org/?mlat=35.8785&amp;mlon=43.3424&amp;zoom=12#map=12/35.8785/43.3424","Maplink1")</f>
        <v>Maplink1</v>
      </c>
      <c r="AU464" s="20" t="str">
        <f>HYPERLINK("https://www.google.iq/maps/search/+35.8785,43.3424/@35.8785,43.3424,14z?hl=en","Maplink2")</f>
        <v>Maplink2</v>
      </c>
      <c r="AV464" s="20" t="str">
        <f>HYPERLINK("http://www.bing.com/maps/?lvl=14&amp;sty=h&amp;cp=35.8785~43.3424&amp;sp=point.35.8785_43.3424","Maplink3")</f>
        <v>Maplink3</v>
      </c>
    </row>
    <row r="465" spans="1:48" x14ac:dyDescent="0.25">
      <c r="A465" s="9">
        <v>31887</v>
      </c>
      <c r="B465" s="10" t="s">
        <v>20</v>
      </c>
      <c r="C465" s="10" t="s">
        <v>939</v>
      </c>
      <c r="D465" s="10" t="s">
        <v>996</v>
      </c>
      <c r="E465" s="10" t="s">
        <v>997</v>
      </c>
      <c r="F465" s="10">
        <v>36.225879999999997</v>
      </c>
      <c r="G465" s="10">
        <v>43.199080000000002</v>
      </c>
      <c r="H465" s="11">
        <v>20</v>
      </c>
      <c r="I465" s="11">
        <v>120</v>
      </c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>
        <v>20</v>
      </c>
      <c r="W465" s="11"/>
      <c r="X465" s="11"/>
      <c r="Y465" s="11"/>
      <c r="Z465" s="11"/>
      <c r="AA465" s="11"/>
      <c r="AB465" s="11"/>
      <c r="AC465" s="11">
        <v>20</v>
      </c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>
        <v>20</v>
      </c>
      <c r="AT465" s="20" t="str">
        <f>HYPERLINK("http://www.openstreetmap.org/?mlat=36.2259&amp;mlon=43.1991&amp;zoom=12#map=12/36.2259/43.1991","Maplink1")</f>
        <v>Maplink1</v>
      </c>
      <c r="AU465" s="20" t="str">
        <f>HYPERLINK("https://www.google.iq/maps/search/+36.2259,43.1991/@36.2259,43.1991,14z?hl=en","Maplink2")</f>
        <v>Maplink2</v>
      </c>
      <c r="AV465" s="20" t="str">
        <f>HYPERLINK("http://www.bing.com/maps/?lvl=14&amp;sty=h&amp;cp=36.2259~43.1991&amp;sp=point.36.2259_43.1991","Maplink3")</f>
        <v>Maplink3</v>
      </c>
    </row>
    <row r="466" spans="1:48" x14ac:dyDescent="0.25">
      <c r="A466" s="9">
        <v>29667</v>
      </c>
      <c r="B466" s="10" t="s">
        <v>20</v>
      </c>
      <c r="C466" s="10" t="s">
        <v>939</v>
      </c>
      <c r="D466" s="10" t="s">
        <v>998</v>
      </c>
      <c r="E466" s="10" t="s">
        <v>999</v>
      </c>
      <c r="F466" s="10">
        <v>35.9086</v>
      </c>
      <c r="G466" s="10">
        <v>43.31803</v>
      </c>
      <c r="H466" s="11">
        <v>157</v>
      </c>
      <c r="I466" s="11">
        <v>942</v>
      </c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>
        <v>157</v>
      </c>
      <c r="W466" s="11"/>
      <c r="X466" s="11"/>
      <c r="Y466" s="11"/>
      <c r="Z466" s="11"/>
      <c r="AA466" s="11"/>
      <c r="AB466" s="11"/>
      <c r="AC466" s="11">
        <v>157</v>
      </c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>
        <v>157</v>
      </c>
      <c r="AT466" s="20" t="str">
        <f>HYPERLINK("http://www.openstreetmap.org/?mlat=35.9086&amp;mlon=43.318&amp;zoom=12#map=12/35.9086/43.318","Maplink1")</f>
        <v>Maplink1</v>
      </c>
      <c r="AU466" s="20" t="str">
        <f>HYPERLINK("https://www.google.iq/maps/search/+35.9086,43.318/@35.9086,43.318,14z?hl=en","Maplink2")</f>
        <v>Maplink2</v>
      </c>
      <c r="AV466" s="20" t="str">
        <f>HYPERLINK("http://www.bing.com/maps/?lvl=14&amp;sty=h&amp;cp=35.9086~43.318&amp;sp=point.35.9086_43.318","Maplink3")</f>
        <v>Maplink3</v>
      </c>
    </row>
    <row r="467" spans="1:48" x14ac:dyDescent="0.25">
      <c r="A467" s="9">
        <v>17574</v>
      </c>
      <c r="B467" s="10" t="s">
        <v>20</v>
      </c>
      <c r="C467" s="10" t="s">
        <v>939</v>
      </c>
      <c r="D467" s="10" t="s">
        <v>1000</v>
      </c>
      <c r="E467" s="10" t="s">
        <v>1001</v>
      </c>
      <c r="F467" s="10">
        <v>36.513199999999998</v>
      </c>
      <c r="G467" s="10">
        <v>42.736800000000002</v>
      </c>
      <c r="H467" s="11">
        <v>20</v>
      </c>
      <c r="I467" s="11">
        <v>120</v>
      </c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>
        <v>20</v>
      </c>
      <c r="W467" s="11"/>
      <c r="X467" s="11"/>
      <c r="Y467" s="11"/>
      <c r="Z467" s="11"/>
      <c r="AA467" s="11"/>
      <c r="AB467" s="11"/>
      <c r="AC467" s="11">
        <v>20</v>
      </c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>
        <v>20</v>
      </c>
      <c r="AR467" s="11"/>
      <c r="AS467" s="11"/>
      <c r="AT467" s="20" t="str">
        <f>HYPERLINK("http://www.openstreetmap.org/?mlat=36.5132&amp;mlon=42.7368&amp;zoom=12#map=12/36.5132/42.7368","Maplink1")</f>
        <v>Maplink1</v>
      </c>
      <c r="AU467" s="20" t="str">
        <f>HYPERLINK("https://www.google.iq/maps/search/+36.5132,42.7368/@36.5132,42.7368,14z?hl=en","Maplink2")</f>
        <v>Maplink2</v>
      </c>
      <c r="AV467" s="20" t="str">
        <f>HYPERLINK("http://www.bing.com/maps/?lvl=14&amp;sty=h&amp;cp=36.5132~42.7368&amp;sp=point.36.5132_42.7368","Maplink3")</f>
        <v>Maplink3</v>
      </c>
    </row>
    <row r="468" spans="1:48" x14ac:dyDescent="0.25">
      <c r="A468" s="9">
        <v>31912</v>
      </c>
      <c r="B468" s="10" t="s">
        <v>20</v>
      </c>
      <c r="C468" s="10" t="s">
        <v>939</v>
      </c>
      <c r="D468" s="10" t="s">
        <v>1002</v>
      </c>
      <c r="E468" s="10" t="s">
        <v>1003</v>
      </c>
      <c r="F468" s="10">
        <v>36.457312000000002</v>
      </c>
      <c r="G468" s="10">
        <v>43.339418000000002</v>
      </c>
      <c r="H468" s="11">
        <v>539</v>
      </c>
      <c r="I468" s="11">
        <v>3234</v>
      </c>
      <c r="J468" s="11"/>
      <c r="K468" s="11"/>
      <c r="L468" s="11"/>
      <c r="M468" s="11"/>
      <c r="N468" s="11">
        <v>250</v>
      </c>
      <c r="O468" s="11"/>
      <c r="P468" s="11">
        <v>21</v>
      </c>
      <c r="Q468" s="11"/>
      <c r="R468" s="11"/>
      <c r="S468" s="11"/>
      <c r="T468" s="11"/>
      <c r="U468" s="11"/>
      <c r="V468" s="11">
        <v>268</v>
      </c>
      <c r="W468" s="11"/>
      <c r="X468" s="11"/>
      <c r="Y468" s="11"/>
      <c r="Z468" s="11"/>
      <c r="AA468" s="11"/>
      <c r="AB468" s="11"/>
      <c r="AC468" s="11">
        <v>539</v>
      </c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>
        <v>539</v>
      </c>
      <c r="AP468" s="11"/>
      <c r="AQ468" s="11"/>
      <c r="AR468" s="11"/>
      <c r="AS468" s="11"/>
      <c r="AT468" s="20" t="str">
        <f>HYPERLINK("http://www.openstreetmap.org/?mlat=36.4573&amp;mlon=43.3394&amp;zoom=12#map=12/36.4573/43.3394","Maplink1")</f>
        <v>Maplink1</v>
      </c>
      <c r="AU468" s="20" t="str">
        <f>HYPERLINK("https://www.google.iq/maps/search/+36.4573,43.3394/@36.4573,43.3394,14z?hl=en","Maplink2")</f>
        <v>Maplink2</v>
      </c>
      <c r="AV468" s="20" t="str">
        <f>HYPERLINK("http://www.bing.com/maps/?lvl=14&amp;sty=h&amp;cp=36.4573~43.3394&amp;sp=point.36.4573_43.3394","Maplink3")</f>
        <v>Maplink3</v>
      </c>
    </row>
    <row r="469" spans="1:48" x14ac:dyDescent="0.25">
      <c r="A469" s="9">
        <v>31894</v>
      </c>
      <c r="B469" s="10" t="s">
        <v>20</v>
      </c>
      <c r="C469" s="10" t="s">
        <v>939</v>
      </c>
      <c r="D469" s="10" t="s">
        <v>1004</v>
      </c>
      <c r="E469" s="10" t="s">
        <v>1005</v>
      </c>
      <c r="F469" s="10">
        <v>36.533529999999999</v>
      </c>
      <c r="G469" s="10">
        <v>43.228180000000002</v>
      </c>
      <c r="H469" s="11">
        <v>290</v>
      </c>
      <c r="I469" s="11">
        <v>1740</v>
      </c>
      <c r="J469" s="11"/>
      <c r="K469" s="11"/>
      <c r="L469" s="11"/>
      <c r="M469" s="11"/>
      <c r="N469" s="11">
        <v>50</v>
      </c>
      <c r="O469" s="11"/>
      <c r="P469" s="11">
        <v>20</v>
      </c>
      <c r="Q469" s="11"/>
      <c r="R469" s="11"/>
      <c r="S469" s="11"/>
      <c r="T469" s="11"/>
      <c r="U469" s="11"/>
      <c r="V469" s="11">
        <v>220</v>
      </c>
      <c r="W469" s="11"/>
      <c r="X469" s="11"/>
      <c r="Y469" s="11"/>
      <c r="Z469" s="11"/>
      <c r="AA469" s="11"/>
      <c r="AB469" s="11"/>
      <c r="AC469" s="11">
        <v>290</v>
      </c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>
        <v>290</v>
      </c>
      <c r="AP469" s="11"/>
      <c r="AQ469" s="11"/>
      <c r="AR469" s="11"/>
      <c r="AS469" s="11"/>
      <c r="AT469" s="20" t="str">
        <f>HYPERLINK("http://www.openstreetmap.org/?mlat=36.5335&amp;mlon=43.2282&amp;zoom=12#map=12/36.5335/43.2282","Maplink1")</f>
        <v>Maplink1</v>
      </c>
      <c r="AU469" s="20" t="str">
        <f>HYPERLINK("https://www.google.iq/maps/search/+36.5335,43.2282/@36.5335,43.2282,14z?hl=en","Maplink2")</f>
        <v>Maplink2</v>
      </c>
      <c r="AV469" s="20" t="str">
        <f>HYPERLINK("http://www.bing.com/maps/?lvl=14&amp;sty=h&amp;cp=36.5335~43.2282&amp;sp=point.36.5335_43.2282","Maplink3")</f>
        <v>Maplink3</v>
      </c>
    </row>
    <row r="470" spans="1:48" x14ac:dyDescent="0.25">
      <c r="A470" s="9">
        <v>21607</v>
      </c>
      <c r="B470" s="10" t="s">
        <v>20</v>
      </c>
      <c r="C470" s="10" t="s">
        <v>939</v>
      </c>
      <c r="D470" s="10" t="s">
        <v>1006</v>
      </c>
      <c r="E470" s="10" t="s">
        <v>1007</v>
      </c>
      <c r="F470" s="10">
        <v>36.453094</v>
      </c>
      <c r="G470" s="10">
        <v>43.348266000000002</v>
      </c>
      <c r="H470" s="11">
        <v>461</v>
      </c>
      <c r="I470" s="11">
        <v>2766</v>
      </c>
      <c r="J470" s="11"/>
      <c r="K470" s="11"/>
      <c r="L470" s="11"/>
      <c r="M470" s="11"/>
      <c r="N470" s="11">
        <v>300</v>
      </c>
      <c r="O470" s="11"/>
      <c r="P470" s="11">
        <v>11</v>
      </c>
      <c r="Q470" s="11"/>
      <c r="R470" s="11"/>
      <c r="S470" s="11"/>
      <c r="T470" s="11"/>
      <c r="U470" s="11"/>
      <c r="V470" s="11">
        <v>150</v>
      </c>
      <c r="W470" s="11"/>
      <c r="X470" s="11"/>
      <c r="Y470" s="11"/>
      <c r="Z470" s="11"/>
      <c r="AA470" s="11"/>
      <c r="AB470" s="11"/>
      <c r="AC470" s="11">
        <v>461</v>
      </c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>
        <v>461</v>
      </c>
      <c r="AP470" s="11"/>
      <c r="AQ470" s="11"/>
      <c r="AR470" s="11"/>
      <c r="AS470" s="11"/>
      <c r="AT470" s="20" t="str">
        <f>HYPERLINK("http://www.openstreetmap.org/?mlat=36.4531&amp;mlon=43.3483&amp;zoom=12#map=12/36.4531/43.3483","Maplink1")</f>
        <v>Maplink1</v>
      </c>
      <c r="AU470" s="20" t="str">
        <f>HYPERLINK("https://www.google.iq/maps/search/+36.4531,43.3483/@36.4531,43.3483,14z?hl=en","Maplink2")</f>
        <v>Maplink2</v>
      </c>
      <c r="AV470" s="20" t="str">
        <f>HYPERLINK("http://www.bing.com/maps/?lvl=14&amp;sty=h&amp;cp=36.4531~43.3483&amp;sp=point.36.4531_43.3483","Maplink3")</f>
        <v>Maplink3</v>
      </c>
    </row>
    <row r="471" spans="1:48" x14ac:dyDescent="0.25">
      <c r="A471" s="9">
        <v>22652</v>
      </c>
      <c r="B471" s="10" t="s">
        <v>20</v>
      </c>
      <c r="C471" s="10" t="s">
        <v>939</v>
      </c>
      <c r="D471" s="10" t="s">
        <v>1008</v>
      </c>
      <c r="E471" s="10" t="s">
        <v>1009</v>
      </c>
      <c r="F471" s="10">
        <v>36.461762</v>
      </c>
      <c r="G471" s="10">
        <v>43.217936999999999</v>
      </c>
      <c r="H471" s="11">
        <v>170</v>
      </c>
      <c r="I471" s="11">
        <v>1020</v>
      </c>
      <c r="J471" s="11"/>
      <c r="K471" s="11"/>
      <c r="L471" s="11"/>
      <c r="M471" s="11"/>
      <c r="N471" s="11">
        <v>50</v>
      </c>
      <c r="O471" s="11"/>
      <c r="P471" s="11"/>
      <c r="Q471" s="11"/>
      <c r="R471" s="11"/>
      <c r="S471" s="11"/>
      <c r="T471" s="11"/>
      <c r="U471" s="11"/>
      <c r="V471" s="11">
        <v>120</v>
      </c>
      <c r="W471" s="11"/>
      <c r="X471" s="11"/>
      <c r="Y471" s="11"/>
      <c r="Z471" s="11"/>
      <c r="AA471" s="11"/>
      <c r="AB471" s="11"/>
      <c r="AC471" s="11">
        <v>170</v>
      </c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>
        <v>130</v>
      </c>
      <c r="AP471" s="11"/>
      <c r="AQ471" s="11"/>
      <c r="AR471" s="11"/>
      <c r="AS471" s="11">
        <v>40</v>
      </c>
      <c r="AT471" s="20" t="str">
        <f>HYPERLINK("http://www.openstreetmap.org/?mlat=36.4618&amp;mlon=43.2179&amp;zoom=12#map=12/36.4618/43.2179","Maplink1")</f>
        <v>Maplink1</v>
      </c>
      <c r="AU471" s="20" t="str">
        <f>HYPERLINK("https://www.google.iq/maps/search/+36.4618,43.2179/@36.4618,43.2179,14z?hl=en","Maplink2")</f>
        <v>Maplink2</v>
      </c>
      <c r="AV471" s="20" t="str">
        <f>HYPERLINK("http://www.bing.com/maps/?lvl=14&amp;sty=h&amp;cp=36.4618~43.2179&amp;sp=point.36.4618_43.2179","Maplink3")</f>
        <v>Maplink3</v>
      </c>
    </row>
    <row r="472" spans="1:48" x14ac:dyDescent="0.25">
      <c r="A472" s="9">
        <v>17382</v>
      </c>
      <c r="B472" s="10" t="s">
        <v>20</v>
      </c>
      <c r="C472" s="10" t="s">
        <v>939</v>
      </c>
      <c r="D472" s="10" t="s">
        <v>1010</v>
      </c>
      <c r="E472" s="10" t="s">
        <v>1011</v>
      </c>
      <c r="F472" s="10">
        <v>36.368735000000001</v>
      </c>
      <c r="G472" s="10">
        <v>43.294915000000003</v>
      </c>
      <c r="H472" s="11">
        <v>141</v>
      </c>
      <c r="I472" s="11">
        <v>846</v>
      </c>
      <c r="J472" s="11"/>
      <c r="K472" s="11">
        <v>3</v>
      </c>
      <c r="L472" s="11">
        <v>5</v>
      </c>
      <c r="M472" s="11"/>
      <c r="N472" s="11">
        <v>15</v>
      </c>
      <c r="O472" s="11"/>
      <c r="P472" s="11">
        <v>80</v>
      </c>
      <c r="Q472" s="11"/>
      <c r="R472" s="11"/>
      <c r="S472" s="11"/>
      <c r="T472" s="11"/>
      <c r="U472" s="11">
        <v>5</v>
      </c>
      <c r="V472" s="11">
        <v>24</v>
      </c>
      <c r="W472" s="11"/>
      <c r="X472" s="11"/>
      <c r="Y472" s="11"/>
      <c r="Z472" s="11"/>
      <c r="AA472" s="11">
        <v>9</v>
      </c>
      <c r="AB472" s="11"/>
      <c r="AC472" s="11">
        <v>141</v>
      </c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>
        <v>121</v>
      </c>
      <c r="AP472" s="11"/>
      <c r="AQ472" s="11"/>
      <c r="AR472" s="11"/>
      <c r="AS472" s="11">
        <v>20</v>
      </c>
      <c r="AT472" s="20" t="str">
        <f>HYPERLINK("http://www.openstreetmap.org/?mlat=36.3687&amp;mlon=43.2949&amp;zoom=12#map=12/36.3687/43.2949","Maplink1")</f>
        <v>Maplink1</v>
      </c>
      <c r="AU472" s="20" t="str">
        <f>HYPERLINK("https://www.google.iq/maps/search/+36.3687,43.2949/@36.3687,43.2949,14z?hl=en","Maplink2")</f>
        <v>Maplink2</v>
      </c>
      <c r="AV472" s="20" t="str">
        <f>HYPERLINK("http://www.bing.com/maps/?lvl=14&amp;sty=h&amp;cp=36.3687~43.2949&amp;sp=point.36.3687_43.2949","Maplink3")</f>
        <v>Maplink3</v>
      </c>
    </row>
    <row r="473" spans="1:48" x14ac:dyDescent="0.25">
      <c r="A473" s="9">
        <v>22440</v>
      </c>
      <c r="B473" s="10" t="s">
        <v>20</v>
      </c>
      <c r="C473" s="10" t="s">
        <v>939</v>
      </c>
      <c r="D473" s="10" t="s">
        <v>1012</v>
      </c>
      <c r="E473" s="10" t="s">
        <v>1013</v>
      </c>
      <c r="F473" s="10">
        <v>36.491095999999999</v>
      </c>
      <c r="G473" s="10">
        <v>43.215800999999999</v>
      </c>
      <c r="H473" s="11">
        <v>84</v>
      </c>
      <c r="I473" s="11">
        <v>504</v>
      </c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>
        <v>84</v>
      </c>
      <c r="W473" s="11"/>
      <c r="X473" s="11"/>
      <c r="Y473" s="11"/>
      <c r="Z473" s="11"/>
      <c r="AA473" s="11"/>
      <c r="AB473" s="11"/>
      <c r="AC473" s="11">
        <v>84</v>
      </c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>
        <v>28</v>
      </c>
      <c r="AS473" s="11">
        <v>56</v>
      </c>
      <c r="AT473" s="20" t="str">
        <f>HYPERLINK("http://www.openstreetmap.org/?mlat=36.4911&amp;mlon=43.2158&amp;zoom=12#map=12/36.4911/43.2158","Maplink1")</f>
        <v>Maplink1</v>
      </c>
      <c r="AU473" s="20" t="str">
        <f>HYPERLINK("https://www.google.iq/maps/search/+36.4911,43.2158/@36.4911,43.2158,14z?hl=en","Maplink2")</f>
        <v>Maplink2</v>
      </c>
      <c r="AV473" s="20" t="str">
        <f>HYPERLINK("http://www.bing.com/maps/?lvl=14&amp;sty=h&amp;cp=36.4911~43.2158&amp;sp=point.36.4911_43.2158","Maplink3")</f>
        <v>Maplink3</v>
      </c>
    </row>
    <row r="474" spans="1:48" x14ac:dyDescent="0.25">
      <c r="A474" s="9">
        <v>22315</v>
      </c>
      <c r="B474" s="10" t="s">
        <v>20</v>
      </c>
      <c r="C474" s="10" t="s">
        <v>939</v>
      </c>
      <c r="D474" s="10" t="s">
        <v>1014</v>
      </c>
      <c r="E474" s="10" t="s">
        <v>476</v>
      </c>
      <c r="F474" s="10">
        <v>36.424000999999997</v>
      </c>
      <c r="G474" s="10">
        <v>43.299146</v>
      </c>
      <c r="H474" s="11">
        <v>323</v>
      </c>
      <c r="I474" s="11">
        <v>1938</v>
      </c>
      <c r="J474" s="11"/>
      <c r="K474" s="11">
        <v>23</v>
      </c>
      <c r="L474" s="11">
        <v>16</v>
      </c>
      <c r="M474" s="11"/>
      <c r="N474" s="11"/>
      <c r="O474" s="11"/>
      <c r="P474" s="11">
        <v>11</v>
      </c>
      <c r="Q474" s="11">
        <v>1</v>
      </c>
      <c r="R474" s="11"/>
      <c r="S474" s="11"/>
      <c r="T474" s="11"/>
      <c r="U474" s="11">
        <v>1</v>
      </c>
      <c r="V474" s="11">
        <v>246</v>
      </c>
      <c r="W474" s="11"/>
      <c r="X474" s="11"/>
      <c r="Y474" s="11">
        <v>4</v>
      </c>
      <c r="Z474" s="11">
        <v>5</v>
      </c>
      <c r="AA474" s="11">
        <v>16</v>
      </c>
      <c r="AB474" s="11"/>
      <c r="AC474" s="11">
        <v>323</v>
      </c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>
        <v>323</v>
      </c>
      <c r="AP474" s="11"/>
      <c r="AQ474" s="11"/>
      <c r="AR474" s="11"/>
      <c r="AS474" s="11"/>
      <c r="AT474" s="20" t="str">
        <f>HYPERLINK("http://www.openstreetmap.org/?mlat=36.424&amp;mlon=43.2991&amp;zoom=12#map=12/36.424/43.2991","Maplink1")</f>
        <v>Maplink1</v>
      </c>
      <c r="AU474" s="20" t="str">
        <f>HYPERLINK("https://www.google.iq/maps/search/+36.424,43.2991/@36.424,43.2991,14z?hl=en","Maplink2")</f>
        <v>Maplink2</v>
      </c>
      <c r="AV474" s="20" t="str">
        <f>HYPERLINK("http://www.bing.com/maps/?lvl=14&amp;sty=h&amp;cp=36.424~43.2991&amp;sp=point.36.424_43.2991","Maplink3")</f>
        <v>Maplink3</v>
      </c>
    </row>
    <row r="475" spans="1:48" x14ac:dyDescent="0.25">
      <c r="A475" s="9">
        <v>17992</v>
      </c>
      <c r="B475" s="10" t="s">
        <v>20</v>
      </c>
      <c r="C475" s="10" t="s">
        <v>939</v>
      </c>
      <c r="D475" s="10" t="s">
        <v>1015</v>
      </c>
      <c r="E475" s="10" t="s">
        <v>1016</v>
      </c>
      <c r="F475" s="10">
        <v>35.9456700697</v>
      </c>
      <c r="G475" s="10">
        <v>43.321698265999999</v>
      </c>
      <c r="H475" s="11">
        <v>260</v>
      </c>
      <c r="I475" s="11">
        <v>1560</v>
      </c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>
        <v>260</v>
      </c>
      <c r="W475" s="11"/>
      <c r="X475" s="11"/>
      <c r="Y475" s="11"/>
      <c r="Z475" s="11"/>
      <c r="AA475" s="11"/>
      <c r="AB475" s="11"/>
      <c r="AC475" s="11">
        <v>260</v>
      </c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>
        <v>260</v>
      </c>
      <c r="AS475" s="11"/>
      <c r="AT475" s="20" t="str">
        <f>HYPERLINK("http://www.openstreetmap.org/?mlat=35.9457&amp;mlon=43.3217&amp;zoom=12#map=12/35.9457/43.3217","Maplink1")</f>
        <v>Maplink1</v>
      </c>
      <c r="AU475" s="20" t="str">
        <f>HYPERLINK("https://www.google.iq/maps/search/+35.9457,43.3217/@35.9457,43.3217,14z?hl=en","Maplink2")</f>
        <v>Maplink2</v>
      </c>
      <c r="AV475" s="20" t="str">
        <f>HYPERLINK("http://www.bing.com/maps/?lvl=14&amp;sty=h&amp;cp=35.9457~43.3217&amp;sp=point.35.9457_43.3217","Maplink3")</f>
        <v>Maplink3</v>
      </c>
    </row>
    <row r="476" spans="1:48" x14ac:dyDescent="0.25">
      <c r="A476" s="9">
        <v>17128</v>
      </c>
      <c r="B476" s="10" t="s">
        <v>20</v>
      </c>
      <c r="C476" s="10" t="s">
        <v>939</v>
      </c>
      <c r="D476" s="10" t="s">
        <v>1017</v>
      </c>
      <c r="E476" s="10" t="s">
        <v>1018</v>
      </c>
      <c r="F476" s="10">
        <v>36.167099999999998</v>
      </c>
      <c r="G476" s="10">
        <v>43.257899999999999</v>
      </c>
      <c r="H476" s="11">
        <v>55</v>
      </c>
      <c r="I476" s="11">
        <v>330</v>
      </c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>
        <v>55</v>
      </c>
      <c r="W476" s="11"/>
      <c r="X476" s="11"/>
      <c r="Y476" s="11"/>
      <c r="Z476" s="11"/>
      <c r="AA476" s="11"/>
      <c r="AB476" s="11"/>
      <c r="AC476" s="11">
        <v>55</v>
      </c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>
        <v>55</v>
      </c>
      <c r="AT476" s="20" t="str">
        <f>HYPERLINK("http://www.openstreetmap.org/?mlat=36.1671&amp;mlon=43.2579&amp;zoom=12#map=12/36.1671/43.2579","Maplink1")</f>
        <v>Maplink1</v>
      </c>
      <c r="AU476" s="20" t="str">
        <f>HYPERLINK("https://www.google.iq/maps/search/+36.1671,43.2579/@36.1671,43.2579,14z?hl=en","Maplink2")</f>
        <v>Maplink2</v>
      </c>
      <c r="AV476" s="20" t="str">
        <f>HYPERLINK("http://www.bing.com/maps/?lvl=14&amp;sty=h&amp;cp=36.1671~43.2579&amp;sp=point.36.1671_43.2579","Maplink3")</f>
        <v>Maplink3</v>
      </c>
    </row>
    <row r="477" spans="1:48" x14ac:dyDescent="0.25">
      <c r="A477" s="9">
        <v>18306</v>
      </c>
      <c r="B477" s="10" t="s">
        <v>20</v>
      </c>
      <c r="C477" s="10" t="s">
        <v>939</v>
      </c>
      <c r="D477" s="10" t="s">
        <v>1019</v>
      </c>
      <c r="E477" s="10" t="s">
        <v>1020</v>
      </c>
      <c r="F477" s="10">
        <v>36.402900000000002</v>
      </c>
      <c r="G477" s="10">
        <v>43.121600000000001</v>
      </c>
      <c r="H477" s="11">
        <v>5</v>
      </c>
      <c r="I477" s="11">
        <v>30</v>
      </c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>
        <v>5</v>
      </c>
      <c r="W477" s="11"/>
      <c r="X477" s="11"/>
      <c r="Y477" s="11"/>
      <c r="Z477" s="11"/>
      <c r="AA477" s="11"/>
      <c r="AB477" s="11"/>
      <c r="AC477" s="11">
        <v>5</v>
      </c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>
        <v>5</v>
      </c>
      <c r="AT477" s="20" t="str">
        <f>HYPERLINK("http://www.openstreetmap.org/?mlat=36.4029&amp;mlon=43.1216&amp;zoom=12#map=12/36.4029/43.1216","Maplink1")</f>
        <v>Maplink1</v>
      </c>
      <c r="AU477" s="20" t="str">
        <f>HYPERLINK("https://www.google.iq/maps/search/+36.4029,43.1216/@36.4029,43.1216,14z?hl=en","Maplink2")</f>
        <v>Maplink2</v>
      </c>
      <c r="AV477" s="20" t="str">
        <f>HYPERLINK("http://www.bing.com/maps/?lvl=14&amp;sty=h&amp;cp=36.4029~43.1216&amp;sp=point.36.4029_43.1216","Maplink3")</f>
        <v>Maplink3</v>
      </c>
    </row>
    <row r="478" spans="1:48" s="19" customFormat="1" x14ac:dyDescent="0.25">
      <c r="A478" s="9">
        <v>23933</v>
      </c>
      <c r="B478" s="10" t="s">
        <v>20</v>
      </c>
      <c r="C478" s="10" t="s">
        <v>939</v>
      </c>
      <c r="D478" s="10" t="s">
        <v>1021</v>
      </c>
      <c r="E478" s="10" t="s">
        <v>1022</v>
      </c>
      <c r="F478" s="10">
        <v>36.363736000000003</v>
      </c>
      <c r="G478" s="10">
        <v>43.218418999999997</v>
      </c>
      <c r="H478" s="11">
        <v>188</v>
      </c>
      <c r="I478" s="11">
        <v>1128</v>
      </c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>
        <v>188</v>
      </c>
      <c r="W478" s="11"/>
      <c r="X478" s="11"/>
      <c r="Y478" s="11"/>
      <c r="Z478" s="11"/>
      <c r="AA478" s="11"/>
      <c r="AB478" s="11"/>
      <c r="AC478" s="11">
        <v>188</v>
      </c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>
        <v>188</v>
      </c>
      <c r="AT478" s="20" t="str">
        <f>HYPERLINK("http://www.openstreetmap.org/?mlat=36.3637&amp;mlon=43.2184&amp;zoom=12#map=12/36.3637/43.2184","Maplink1")</f>
        <v>Maplink1</v>
      </c>
      <c r="AU478" s="20" t="str">
        <f>HYPERLINK("https://www.google.iq/maps/search/+36.3637,43.2184/@36.3637,43.2184,14z?hl=en","Maplink2")</f>
        <v>Maplink2</v>
      </c>
      <c r="AV478" s="20" t="str">
        <f>HYPERLINK("http://www.bing.com/maps/?lvl=14&amp;sty=h&amp;cp=36.3637~43.2184&amp;sp=point.36.3637_43.2184","Maplink3")</f>
        <v>Maplink3</v>
      </c>
    </row>
    <row r="479" spans="1:48" s="19" customFormat="1" x14ac:dyDescent="0.25">
      <c r="A479" s="9">
        <v>21336</v>
      </c>
      <c r="B479" s="10" t="s">
        <v>20</v>
      </c>
      <c r="C479" s="10" t="s">
        <v>939</v>
      </c>
      <c r="D479" s="10" t="s">
        <v>1023</v>
      </c>
      <c r="E479" s="10" t="s">
        <v>1024</v>
      </c>
      <c r="F479" s="10">
        <v>36.3215</v>
      </c>
      <c r="G479" s="10">
        <v>43.125999999999998</v>
      </c>
      <c r="H479" s="11">
        <v>172</v>
      </c>
      <c r="I479" s="11">
        <v>1032</v>
      </c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>
        <v>172</v>
      </c>
      <c r="W479" s="11"/>
      <c r="X479" s="11"/>
      <c r="Y479" s="11"/>
      <c r="Z479" s="11"/>
      <c r="AA479" s="11"/>
      <c r="AB479" s="11"/>
      <c r="AC479" s="11">
        <v>172</v>
      </c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>
        <v>172</v>
      </c>
      <c r="AT479" s="20" t="str">
        <f>HYPERLINK("http://www.openstreetmap.org/?mlat=36.3215&amp;mlon=43.126&amp;zoom=12#map=12/36.3215/43.126","Maplink1")</f>
        <v>Maplink1</v>
      </c>
      <c r="AU479" s="20" t="str">
        <f>HYPERLINK("https://www.google.iq/maps/search/+36.3215,43.126/@36.3215,43.126,14z?hl=en","Maplink2")</f>
        <v>Maplink2</v>
      </c>
      <c r="AV479" s="20" t="str">
        <f>HYPERLINK("http://www.bing.com/maps/?lvl=14&amp;sty=h&amp;cp=36.3215~43.126&amp;sp=point.36.3215_43.126","Maplink3")</f>
        <v>Maplink3</v>
      </c>
    </row>
    <row r="480" spans="1:48" s="19" customFormat="1" x14ac:dyDescent="0.25">
      <c r="A480" s="9">
        <v>24205</v>
      </c>
      <c r="B480" s="10" t="s">
        <v>20</v>
      </c>
      <c r="C480" s="10" t="s">
        <v>939</v>
      </c>
      <c r="D480" s="10" t="s">
        <v>1025</v>
      </c>
      <c r="E480" s="10" t="s">
        <v>1026</v>
      </c>
      <c r="F480" s="10">
        <v>36.488005824200002</v>
      </c>
      <c r="G480" s="10">
        <v>43.234799872000004</v>
      </c>
      <c r="H480" s="11">
        <v>28</v>
      </c>
      <c r="I480" s="11">
        <v>168</v>
      </c>
      <c r="J480" s="11"/>
      <c r="K480" s="11"/>
      <c r="L480" s="11"/>
      <c r="M480" s="11"/>
      <c r="N480" s="11">
        <v>2</v>
      </c>
      <c r="O480" s="11"/>
      <c r="P480" s="11"/>
      <c r="Q480" s="11"/>
      <c r="R480" s="11"/>
      <c r="S480" s="11"/>
      <c r="T480" s="11"/>
      <c r="U480" s="11"/>
      <c r="V480" s="11">
        <v>26</v>
      </c>
      <c r="W480" s="11"/>
      <c r="X480" s="11"/>
      <c r="Y480" s="11"/>
      <c r="Z480" s="11"/>
      <c r="AA480" s="11"/>
      <c r="AB480" s="11"/>
      <c r="AC480" s="11">
        <v>28</v>
      </c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>
        <v>6</v>
      </c>
      <c r="AP480" s="11"/>
      <c r="AQ480" s="11"/>
      <c r="AR480" s="11"/>
      <c r="AS480" s="11">
        <v>22</v>
      </c>
      <c r="AT480" s="20" t="str">
        <f>HYPERLINK("http://www.openstreetmap.org/?mlat=36.488&amp;mlon=43.2348&amp;zoom=12#map=12/36.488/43.2348","Maplink1")</f>
        <v>Maplink1</v>
      </c>
      <c r="AU480" s="20" t="str">
        <f>HYPERLINK("https://www.google.iq/maps/search/+36.488,43.2348/@36.488,43.2348,14z?hl=en","Maplink2")</f>
        <v>Maplink2</v>
      </c>
      <c r="AV480" s="20" t="str">
        <f>HYPERLINK("http://www.bing.com/maps/?lvl=14&amp;sty=h&amp;cp=36.488~43.2348&amp;sp=point.36.488_43.2348","Maplink3")</f>
        <v>Maplink3</v>
      </c>
    </row>
    <row r="481" spans="1:48" s="19" customFormat="1" x14ac:dyDescent="0.25">
      <c r="A481" s="9">
        <v>22213</v>
      </c>
      <c r="B481" s="10" t="s">
        <v>20</v>
      </c>
      <c r="C481" s="10" t="s">
        <v>939</v>
      </c>
      <c r="D481" s="10" t="s">
        <v>1027</v>
      </c>
      <c r="E481" s="10" t="s">
        <v>1028</v>
      </c>
      <c r="F481" s="10">
        <v>36.490839000000001</v>
      </c>
      <c r="G481" s="10">
        <v>43.307262000000001</v>
      </c>
      <c r="H481" s="11">
        <v>12</v>
      </c>
      <c r="I481" s="11">
        <v>72</v>
      </c>
      <c r="J481" s="11"/>
      <c r="K481" s="11"/>
      <c r="L481" s="11"/>
      <c r="M481" s="11"/>
      <c r="N481" s="11">
        <v>12</v>
      </c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>
        <v>12</v>
      </c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>
        <v>12</v>
      </c>
      <c r="AP481" s="11"/>
      <c r="AQ481" s="11"/>
      <c r="AR481" s="11"/>
      <c r="AS481" s="11"/>
      <c r="AT481" s="20" t="str">
        <f>HYPERLINK("http://www.openstreetmap.org/?mlat=36.4908&amp;mlon=43.3073&amp;zoom=12#map=12/36.4908/43.3073","Maplink1")</f>
        <v>Maplink1</v>
      </c>
      <c r="AU481" s="20" t="str">
        <f>HYPERLINK("https://www.google.iq/maps/search/+36.4908,43.3073/@36.4908,43.3073,14z?hl=en","Maplink2")</f>
        <v>Maplink2</v>
      </c>
      <c r="AV481" s="20" t="str">
        <f>HYPERLINK("http://www.bing.com/maps/?lvl=14&amp;sty=h&amp;cp=36.4908~43.3073&amp;sp=point.36.4908_43.3073","Maplink3")</f>
        <v>Maplink3</v>
      </c>
    </row>
    <row r="482" spans="1:48" s="19" customFormat="1" x14ac:dyDescent="0.25">
      <c r="A482" s="9">
        <v>22129</v>
      </c>
      <c r="B482" s="10" t="s">
        <v>20</v>
      </c>
      <c r="C482" s="10" t="s">
        <v>939</v>
      </c>
      <c r="D482" s="10" t="s">
        <v>1029</v>
      </c>
      <c r="E482" s="10" t="s">
        <v>1030</v>
      </c>
      <c r="F482" s="10">
        <v>36.50967</v>
      </c>
      <c r="G482" s="10">
        <v>43.223790000000001</v>
      </c>
      <c r="H482" s="11">
        <v>468</v>
      </c>
      <c r="I482" s="11">
        <v>2808</v>
      </c>
      <c r="J482" s="11"/>
      <c r="K482" s="11"/>
      <c r="L482" s="11"/>
      <c r="M482" s="11"/>
      <c r="N482" s="11">
        <v>10</v>
      </c>
      <c r="O482" s="11"/>
      <c r="P482" s="11"/>
      <c r="Q482" s="11"/>
      <c r="R482" s="11"/>
      <c r="S482" s="11"/>
      <c r="T482" s="11"/>
      <c r="U482" s="11"/>
      <c r="V482" s="11">
        <v>458</v>
      </c>
      <c r="W482" s="11"/>
      <c r="X482" s="11"/>
      <c r="Y482" s="11"/>
      <c r="Z482" s="11"/>
      <c r="AA482" s="11"/>
      <c r="AB482" s="11"/>
      <c r="AC482" s="11">
        <v>468</v>
      </c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>
        <v>468</v>
      </c>
      <c r="AP482" s="11"/>
      <c r="AQ482" s="11"/>
      <c r="AR482" s="11"/>
      <c r="AS482" s="11"/>
      <c r="AT482" s="20" t="str">
        <f>HYPERLINK("http://www.openstreetmap.org/?mlat=36.5097&amp;mlon=43.2238&amp;zoom=12#map=12/36.5097/43.2238","Maplink1")</f>
        <v>Maplink1</v>
      </c>
      <c r="AU482" s="20" t="str">
        <f>HYPERLINK("https://www.google.iq/maps/search/+36.5097,43.2238/@36.5097,43.2238,14z?hl=en","Maplink2")</f>
        <v>Maplink2</v>
      </c>
      <c r="AV482" s="20" t="str">
        <f>HYPERLINK("http://www.bing.com/maps/?lvl=14&amp;sty=h&amp;cp=36.5097~43.2238&amp;sp=point.36.5097_43.2238","Maplink3")</f>
        <v>Maplink3</v>
      </c>
    </row>
    <row r="483" spans="1:48" s="19" customFormat="1" x14ac:dyDescent="0.25">
      <c r="A483" s="9">
        <v>17510</v>
      </c>
      <c r="B483" s="10" t="s">
        <v>20</v>
      </c>
      <c r="C483" s="10" t="s">
        <v>939</v>
      </c>
      <c r="D483" s="10" t="s">
        <v>1031</v>
      </c>
      <c r="E483" s="10" t="s">
        <v>1032</v>
      </c>
      <c r="F483" s="10">
        <v>35.828699999999998</v>
      </c>
      <c r="G483" s="10">
        <v>43.327100000000002</v>
      </c>
      <c r="H483" s="11">
        <v>245</v>
      </c>
      <c r="I483" s="11">
        <v>1470</v>
      </c>
      <c r="J483" s="11"/>
      <c r="K483" s="11"/>
      <c r="L483" s="11"/>
      <c r="M483" s="11"/>
      <c r="N483" s="11"/>
      <c r="O483" s="11"/>
      <c r="P483" s="11">
        <v>245</v>
      </c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>
        <v>245</v>
      </c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>
        <v>195</v>
      </c>
      <c r="AS483" s="11">
        <v>50</v>
      </c>
      <c r="AT483" s="20" t="str">
        <f>HYPERLINK("http://www.openstreetmap.org/?mlat=35.8287&amp;mlon=43.3271&amp;zoom=12#map=12/35.8287/43.3271","Maplink1")</f>
        <v>Maplink1</v>
      </c>
      <c r="AU483" s="20" t="str">
        <f>HYPERLINK("https://www.google.iq/maps/search/+35.8287,43.3271/@35.8287,43.3271,14z?hl=en","Maplink2")</f>
        <v>Maplink2</v>
      </c>
      <c r="AV483" s="20" t="str">
        <f>HYPERLINK("http://www.bing.com/maps/?lvl=14&amp;sty=h&amp;cp=35.8287~43.3271&amp;sp=point.35.8287_43.3271","Maplink3")</f>
        <v>Maplink3</v>
      </c>
    </row>
    <row r="484" spans="1:48" s="19" customFormat="1" x14ac:dyDescent="0.25">
      <c r="A484" s="9">
        <v>31771</v>
      </c>
      <c r="B484" s="10" t="s">
        <v>20</v>
      </c>
      <c r="C484" s="10" t="s">
        <v>939</v>
      </c>
      <c r="D484" s="10" t="s">
        <v>1033</v>
      </c>
      <c r="E484" s="10" t="s">
        <v>1034</v>
      </c>
      <c r="F484" s="10">
        <v>36.238390000000003</v>
      </c>
      <c r="G484" s="10">
        <v>43.178159999999998</v>
      </c>
      <c r="H484" s="11">
        <v>290</v>
      </c>
      <c r="I484" s="11">
        <v>1740</v>
      </c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>
        <v>290</v>
      </c>
      <c r="W484" s="11"/>
      <c r="X484" s="11"/>
      <c r="Y484" s="11"/>
      <c r="Z484" s="11"/>
      <c r="AA484" s="11"/>
      <c r="AB484" s="11"/>
      <c r="AC484" s="11">
        <v>290</v>
      </c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>
        <v>290</v>
      </c>
      <c r="AT484" s="20" t="str">
        <f>HYPERLINK("http://www.openstreetmap.org/?mlat=36.2384&amp;mlon=43.1782&amp;zoom=12#map=12/36.2384/43.1782","Maplink1")</f>
        <v>Maplink1</v>
      </c>
      <c r="AU484" s="20" t="str">
        <f>HYPERLINK("https://www.google.iq/maps/search/+36.2384,43.1782/@36.2384,43.1782,14z?hl=en","Maplink2")</f>
        <v>Maplink2</v>
      </c>
      <c r="AV484" s="20" t="str">
        <f>HYPERLINK("http://www.bing.com/maps/?lvl=14&amp;sty=h&amp;cp=36.2384~43.1782&amp;sp=point.36.2384_43.1782","Maplink3")</f>
        <v>Maplink3</v>
      </c>
    </row>
    <row r="485" spans="1:48" s="19" customFormat="1" x14ac:dyDescent="0.25">
      <c r="A485" s="9">
        <v>18376</v>
      </c>
      <c r="B485" s="10" t="s">
        <v>20</v>
      </c>
      <c r="C485" s="10" t="s">
        <v>939</v>
      </c>
      <c r="D485" s="10" t="s">
        <v>1035</v>
      </c>
      <c r="E485" s="10" t="s">
        <v>1036</v>
      </c>
      <c r="F485" s="10">
        <v>36.3646065306</v>
      </c>
      <c r="G485" s="10">
        <v>43.253451653399999</v>
      </c>
      <c r="H485" s="11">
        <v>960</v>
      </c>
      <c r="I485" s="11">
        <v>5760</v>
      </c>
      <c r="J485" s="11"/>
      <c r="K485" s="11"/>
      <c r="L485" s="11"/>
      <c r="M485" s="11"/>
      <c r="N485" s="11"/>
      <c r="O485" s="11"/>
      <c r="P485" s="11">
        <v>210</v>
      </c>
      <c r="Q485" s="11"/>
      <c r="R485" s="11"/>
      <c r="S485" s="11"/>
      <c r="T485" s="11"/>
      <c r="U485" s="11"/>
      <c r="V485" s="11">
        <v>750</v>
      </c>
      <c r="W485" s="11"/>
      <c r="X485" s="11"/>
      <c r="Y485" s="11"/>
      <c r="Z485" s="11"/>
      <c r="AA485" s="11"/>
      <c r="AB485" s="11"/>
      <c r="AC485" s="11">
        <v>960</v>
      </c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>
        <v>210</v>
      </c>
      <c r="AP485" s="11"/>
      <c r="AQ485" s="11"/>
      <c r="AR485" s="11"/>
      <c r="AS485" s="11">
        <v>750</v>
      </c>
      <c r="AT485" s="20" t="str">
        <f>HYPERLINK("http://www.openstreetmap.org/?mlat=36.3646&amp;mlon=43.2535&amp;zoom=12#map=12/36.3646/43.2535","Maplink1")</f>
        <v>Maplink1</v>
      </c>
      <c r="AU485" s="20" t="str">
        <f>HYPERLINK("https://www.google.iq/maps/search/+36.3646,43.2535/@36.3646,43.2535,14z?hl=en","Maplink2")</f>
        <v>Maplink2</v>
      </c>
      <c r="AV485" s="20" t="str">
        <f>HYPERLINK("http://www.bing.com/maps/?lvl=14&amp;sty=h&amp;cp=36.3646~43.2535&amp;sp=point.36.3646_43.2535","Maplink3")</f>
        <v>Maplink3</v>
      </c>
    </row>
    <row r="486" spans="1:48" s="19" customFormat="1" x14ac:dyDescent="0.25">
      <c r="A486" s="9">
        <v>17522</v>
      </c>
      <c r="B486" s="10" t="s">
        <v>20</v>
      </c>
      <c r="C486" s="10" t="s">
        <v>939</v>
      </c>
      <c r="D486" s="10" t="s">
        <v>1037</v>
      </c>
      <c r="E486" s="10" t="s">
        <v>1038</v>
      </c>
      <c r="F486" s="10">
        <v>36.211329999999997</v>
      </c>
      <c r="G486" s="10">
        <v>43.21302</v>
      </c>
      <c r="H486" s="11">
        <v>130</v>
      </c>
      <c r="I486" s="11">
        <v>780</v>
      </c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>
        <v>130</v>
      </c>
      <c r="W486" s="11"/>
      <c r="X486" s="11"/>
      <c r="Y486" s="11"/>
      <c r="Z486" s="11"/>
      <c r="AA486" s="11"/>
      <c r="AB486" s="11"/>
      <c r="AC486" s="11">
        <v>130</v>
      </c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>
        <v>130</v>
      </c>
      <c r="AT486" s="20" t="str">
        <f>HYPERLINK("http://www.openstreetmap.org/?mlat=36.2113&amp;mlon=43.213&amp;zoom=12#map=12/36.2113/43.213","Maplink1")</f>
        <v>Maplink1</v>
      </c>
      <c r="AU486" s="20" t="str">
        <f>HYPERLINK("https://www.google.iq/maps/search/+36.2113,43.213/@36.2113,43.213,14z?hl=en","Maplink2")</f>
        <v>Maplink2</v>
      </c>
      <c r="AV486" s="20" t="str">
        <f>HYPERLINK("http://www.bing.com/maps/?lvl=14&amp;sty=h&amp;cp=36.2113~43.213&amp;sp=point.36.2113_43.213","Maplink3")</f>
        <v>Maplink3</v>
      </c>
    </row>
    <row r="487" spans="1:48" s="19" customFormat="1" x14ac:dyDescent="0.25">
      <c r="A487" s="9">
        <v>25813</v>
      </c>
      <c r="B487" s="10" t="s">
        <v>20</v>
      </c>
      <c r="C487" s="10" t="s">
        <v>939</v>
      </c>
      <c r="D487" s="10" t="s">
        <v>1039</v>
      </c>
      <c r="E487" s="10" t="s">
        <v>1040</v>
      </c>
      <c r="F487" s="10">
        <v>36.493137050000001</v>
      </c>
      <c r="G487" s="10">
        <v>43.424021369999998</v>
      </c>
      <c r="H487" s="11">
        <v>38</v>
      </c>
      <c r="I487" s="11">
        <v>228</v>
      </c>
      <c r="J487" s="11"/>
      <c r="K487" s="11"/>
      <c r="L487" s="11"/>
      <c r="M487" s="11"/>
      <c r="N487" s="11">
        <v>33</v>
      </c>
      <c r="O487" s="11"/>
      <c r="P487" s="11">
        <v>5</v>
      </c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>
        <v>38</v>
      </c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>
        <v>38</v>
      </c>
      <c r="AP487" s="11"/>
      <c r="AQ487" s="11"/>
      <c r="AR487" s="11"/>
      <c r="AS487" s="11"/>
      <c r="AT487" s="20" t="str">
        <f>HYPERLINK("http://www.openstreetmap.org/?mlat=36.4931&amp;mlon=43.424&amp;zoom=12#map=12/36.4931/43.424","Maplink1")</f>
        <v>Maplink1</v>
      </c>
      <c r="AU487" s="20" t="str">
        <f>HYPERLINK("https://www.google.iq/maps/search/+36.4931,43.424/@36.4931,43.424,14z?hl=en","Maplink2")</f>
        <v>Maplink2</v>
      </c>
      <c r="AV487" s="20" t="str">
        <f>HYPERLINK("http://www.bing.com/maps/?lvl=14&amp;sty=h&amp;cp=36.4931~43.424&amp;sp=point.36.4931_43.424","Maplink3")</f>
        <v>Maplink3</v>
      </c>
    </row>
    <row r="488" spans="1:48" s="19" customFormat="1" x14ac:dyDescent="0.25">
      <c r="A488" s="9">
        <v>29662</v>
      </c>
      <c r="B488" s="10" t="s">
        <v>20</v>
      </c>
      <c r="C488" s="10" t="s">
        <v>939</v>
      </c>
      <c r="D488" s="10" t="s">
        <v>1041</v>
      </c>
      <c r="E488" s="10" t="s">
        <v>1042</v>
      </c>
      <c r="F488" s="10">
        <v>35.838299999999997</v>
      </c>
      <c r="G488" s="10">
        <v>43.329700000000003</v>
      </c>
      <c r="H488" s="11">
        <v>300</v>
      </c>
      <c r="I488" s="11">
        <v>1800</v>
      </c>
      <c r="J488" s="11"/>
      <c r="K488" s="11"/>
      <c r="L488" s="11"/>
      <c r="M488" s="11"/>
      <c r="N488" s="11"/>
      <c r="O488" s="11"/>
      <c r="P488" s="11">
        <v>300</v>
      </c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>
        <v>300</v>
      </c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>
        <v>300</v>
      </c>
      <c r="AR488" s="11"/>
      <c r="AS488" s="11"/>
      <c r="AT488" s="20" t="str">
        <f>HYPERLINK("http://www.openstreetmap.org/?mlat=35.8383&amp;mlon=43.3297&amp;zoom=12#map=12/35.8383/43.3297","Maplink1")</f>
        <v>Maplink1</v>
      </c>
      <c r="AU488" s="20" t="str">
        <f>HYPERLINK("https://www.google.iq/maps/search/+35.8383,43.3297/@35.8383,43.3297,14z?hl=en","Maplink2")</f>
        <v>Maplink2</v>
      </c>
      <c r="AV488" s="20" t="str">
        <f>HYPERLINK("http://www.bing.com/maps/?lvl=14&amp;sty=h&amp;cp=35.8383~43.3297&amp;sp=point.35.8383_43.3297","Maplink3")</f>
        <v>Maplink3</v>
      </c>
    </row>
    <row r="489" spans="1:48" s="19" customFormat="1" x14ac:dyDescent="0.25">
      <c r="A489" s="9">
        <v>25810</v>
      </c>
      <c r="B489" s="10" t="s">
        <v>20</v>
      </c>
      <c r="C489" s="10" t="s">
        <v>939</v>
      </c>
      <c r="D489" s="10" t="s">
        <v>1043</v>
      </c>
      <c r="E489" s="10" t="s">
        <v>1044</v>
      </c>
      <c r="F489" s="10">
        <v>36.47873242</v>
      </c>
      <c r="G489" s="10">
        <v>43.440075739999997</v>
      </c>
      <c r="H489" s="11">
        <v>75</v>
      </c>
      <c r="I489" s="11">
        <v>450</v>
      </c>
      <c r="J489" s="11"/>
      <c r="K489" s="11"/>
      <c r="L489" s="11"/>
      <c r="M489" s="11"/>
      <c r="N489" s="11">
        <v>30</v>
      </c>
      <c r="O489" s="11"/>
      <c r="P489" s="11">
        <v>45</v>
      </c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>
        <v>75</v>
      </c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>
        <v>75</v>
      </c>
      <c r="AP489" s="11"/>
      <c r="AQ489" s="11"/>
      <c r="AR489" s="11"/>
      <c r="AS489" s="11"/>
      <c r="AT489" s="20" t="str">
        <f>HYPERLINK("http://www.openstreetmap.org/?mlat=36.4787&amp;mlon=43.4401&amp;zoom=12#map=12/36.4787/43.4401","Maplink1")</f>
        <v>Maplink1</v>
      </c>
      <c r="AU489" s="20" t="str">
        <f>HYPERLINK("https://www.google.iq/maps/search/+36.4787,43.4401/@36.4787,43.4401,14z?hl=en","Maplink2")</f>
        <v>Maplink2</v>
      </c>
      <c r="AV489" s="20" t="str">
        <f>HYPERLINK("http://www.bing.com/maps/?lvl=14&amp;sty=h&amp;cp=36.4787~43.4401&amp;sp=point.36.4787_43.4401","Maplink3")</f>
        <v>Maplink3</v>
      </c>
    </row>
    <row r="490" spans="1:48" s="19" customFormat="1" x14ac:dyDescent="0.25">
      <c r="A490" s="9">
        <v>17990</v>
      </c>
      <c r="B490" s="10" t="s">
        <v>20</v>
      </c>
      <c r="C490" s="10" t="s">
        <v>939</v>
      </c>
      <c r="D490" s="10" t="s">
        <v>939</v>
      </c>
      <c r="E490" s="10" t="s">
        <v>1045</v>
      </c>
      <c r="F490" s="10">
        <v>36.340054000000002</v>
      </c>
      <c r="G490" s="10">
        <v>43.130054999999999</v>
      </c>
      <c r="H490" s="11">
        <v>356</v>
      </c>
      <c r="I490" s="11">
        <v>2136</v>
      </c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>
        <v>356</v>
      </c>
      <c r="W490" s="11"/>
      <c r="X490" s="11"/>
      <c r="Y490" s="11"/>
      <c r="Z490" s="11"/>
      <c r="AA490" s="11"/>
      <c r="AB490" s="11"/>
      <c r="AC490" s="11">
        <v>356</v>
      </c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>
        <v>356</v>
      </c>
      <c r="AT490" s="20" t="str">
        <f>HYPERLINK("http://www.openstreetmap.org/?mlat=36.3401&amp;mlon=43.1301&amp;zoom=12#map=12/36.3401/43.1301","Maplink1")</f>
        <v>Maplink1</v>
      </c>
      <c r="AU490" s="20" t="str">
        <f>HYPERLINK("https://www.google.iq/maps/search/+36.3401,43.1301/@36.3401,43.1301,14z?hl=en","Maplink2")</f>
        <v>Maplink2</v>
      </c>
      <c r="AV490" s="20" t="str">
        <f>HYPERLINK("http://www.bing.com/maps/?lvl=14&amp;sty=h&amp;cp=36.3401~43.1301&amp;sp=point.36.3401_43.1301","Maplink3")</f>
        <v>Maplink3</v>
      </c>
    </row>
    <row r="491" spans="1:48" s="19" customFormat="1" x14ac:dyDescent="0.25">
      <c r="A491" s="9">
        <v>31705</v>
      </c>
      <c r="B491" s="10" t="s">
        <v>20</v>
      </c>
      <c r="C491" s="10" t="s">
        <v>939</v>
      </c>
      <c r="D491" s="10" t="s">
        <v>1046</v>
      </c>
      <c r="E491" s="10" t="s">
        <v>1047</v>
      </c>
      <c r="F491" s="10">
        <v>36.003509447699997</v>
      </c>
      <c r="G491" s="10">
        <v>43.289962250999999</v>
      </c>
      <c r="H491" s="11">
        <v>250</v>
      </c>
      <c r="I491" s="11">
        <v>1500</v>
      </c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>
        <v>250</v>
      </c>
      <c r="W491" s="11"/>
      <c r="X491" s="11"/>
      <c r="Y491" s="11"/>
      <c r="Z491" s="11"/>
      <c r="AA491" s="11"/>
      <c r="AB491" s="11"/>
      <c r="AC491" s="11">
        <v>250</v>
      </c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>
        <v>250</v>
      </c>
      <c r="AS491" s="11"/>
      <c r="AT491" s="20" t="str">
        <f>HYPERLINK("http://www.openstreetmap.org/?mlat=36.0035&amp;mlon=43.29&amp;zoom=12#map=12/36.0035/43.29","Maplink1")</f>
        <v>Maplink1</v>
      </c>
      <c r="AU491" s="20" t="str">
        <f>HYPERLINK("https://www.google.iq/maps/search/+36.0035,43.29/@36.0035,43.29,14z?hl=en","Maplink2")</f>
        <v>Maplink2</v>
      </c>
      <c r="AV491" s="20" t="str">
        <f>HYPERLINK("http://www.bing.com/maps/?lvl=14&amp;sty=h&amp;cp=36.0035~43.29&amp;sp=point.36.0035_43.29","Maplink3")</f>
        <v>Maplink3</v>
      </c>
    </row>
    <row r="492" spans="1:48" s="19" customFormat="1" x14ac:dyDescent="0.25">
      <c r="A492" s="9">
        <v>18332</v>
      </c>
      <c r="B492" s="10" t="s">
        <v>20</v>
      </c>
      <c r="C492" s="10" t="s">
        <v>939</v>
      </c>
      <c r="D492" s="10" t="s">
        <v>1048</v>
      </c>
      <c r="E492" s="10" t="s">
        <v>1049</v>
      </c>
      <c r="F492" s="10">
        <v>36.346417000000002</v>
      </c>
      <c r="G492" s="10">
        <v>43.164434</v>
      </c>
      <c r="H492" s="11">
        <v>187</v>
      </c>
      <c r="I492" s="11">
        <v>1122</v>
      </c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>
        <v>187</v>
      </c>
      <c r="W492" s="11"/>
      <c r="X492" s="11"/>
      <c r="Y492" s="11"/>
      <c r="Z492" s="11"/>
      <c r="AA492" s="11"/>
      <c r="AB492" s="11"/>
      <c r="AC492" s="11">
        <v>187</v>
      </c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>
        <v>187</v>
      </c>
      <c r="AT492" s="20" t="str">
        <f>HYPERLINK("http://www.openstreetmap.org/?mlat=36.3464&amp;mlon=43.1644&amp;zoom=12#map=12/36.3464/43.1644","Maplink1")</f>
        <v>Maplink1</v>
      </c>
      <c r="AU492" s="20" t="str">
        <f>HYPERLINK("https://www.google.iq/maps/search/+36.3464,43.1644/@36.3464,43.1644,14z?hl=en","Maplink2")</f>
        <v>Maplink2</v>
      </c>
      <c r="AV492" s="20" t="str">
        <f>HYPERLINK("http://www.bing.com/maps/?lvl=14&amp;sty=h&amp;cp=36.3464~43.1644&amp;sp=point.36.3464_43.1644","Maplink3")</f>
        <v>Maplink3</v>
      </c>
    </row>
    <row r="493" spans="1:48" s="19" customFormat="1" x14ac:dyDescent="0.25">
      <c r="A493" s="9">
        <v>18407</v>
      </c>
      <c r="B493" s="10" t="s">
        <v>20</v>
      </c>
      <c r="C493" s="10" t="s">
        <v>939</v>
      </c>
      <c r="D493" s="10" t="s">
        <v>1050</v>
      </c>
      <c r="E493" s="10" t="s">
        <v>1051</v>
      </c>
      <c r="F493" s="10">
        <v>36.477545185700002</v>
      </c>
      <c r="G493" s="10">
        <v>43.273720413600003</v>
      </c>
      <c r="H493" s="11">
        <v>910</v>
      </c>
      <c r="I493" s="11">
        <v>5460</v>
      </c>
      <c r="J493" s="11"/>
      <c r="K493" s="11"/>
      <c r="L493" s="11"/>
      <c r="M493" s="11"/>
      <c r="N493" s="11">
        <v>155</v>
      </c>
      <c r="O493" s="11"/>
      <c r="P493" s="11"/>
      <c r="Q493" s="11"/>
      <c r="R493" s="11"/>
      <c r="S493" s="11"/>
      <c r="T493" s="11"/>
      <c r="U493" s="11"/>
      <c r="V493" s="11">
        <v>755</v>
      </c>
      <c r="W493" s="11"/>
      <c r="X493" s="11"/>
      <c r="Y493" s="11"/>
      <c r="Z493" s="11"/>
      <c r="AA493" s="11"/>
      <c r="AB493" s="11"/>
      <c r="AC493" s="11">
        <v>910</v>
      </c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>
        <v>806</v>
      </c>
      <c r="AP493" s="11"/>
      <c r="AQ493" s="11"/>
      <c r="AR493" s="11"/>
      <c r="AS493" s="11">
        <v>104</v>
      </c>
      <c r="AT493" s="20" t="str">
        <f>HYPERLINK("http://www.openstreetmap.org/?mlat=36.4775&amp;mlon=43.2737&amp;zoom=12#map=12/36.4775/43.2737","Maplink1")</f>
        <v>Maplink1</v>
      </c>
      <c r="AU493" s="20" t="str">
        <f>HYPERLINK("https://www.google.iq/maps/search/+36.4775,43.2737/@36.4775,43.2737,14z?hl=en","Maplink2")</f>
        <v>Maplink2</v>
      </c>
      <c r="AV493" s="20" t="str">
        <f>HYPERLINK("http://www.bing.com/maps/?lvl=14&amp;sty=h&amp;cp=36.4775~43.2737&amp;sp=point.36.4775_43.2737","Maplink3")</f>
        <v>Maplink3</v>
      </c>
    </row>
    <row r="494" spans="1:48" s="19" customFormat="1" x14ac:dyDescent="0.25">
      <c r="A494" s="9">
        <v>21580</v>
      </c>
      <c r="B494" s="10" t="s">
        <v>20</v>
      </c>
      <c r="C494" s="10" t="s">
        <v>939</v>
      </c>
      <c r="D494" s="10" t="s">
        <v>1052</v>
      </c>
      <c r="E494" s="10" t="s">
        <v>1053</v>
      </c>
      <c r="F494" s="10">
        <v>36.422829</v>
      </c>
      <c r="G494" s="10">
        <v>43.232275999999999</v>
      </c>
      <c r="H494" s="11">
        <v>180</v>
      </c>
      <c r="I494" s="11">
        <v>1080</v>
      </c>
      <c r="J494" s="11"/>
      <c r="K494" s="11"/>
      <c r="L494" s="11"/>
      <c r="M494" s="11"/>
      <c r="N494" s="11">
        <v>5</v>
      </c>
      <c r="O494" s="11"/>
      <c r="P494" s="11"/>
      <c r="Q494" s="11"/>
      <c r="R494" s="11"/>
      <c r="S494" s="11">
        <v>2</v>
      </c>
      <c r="T494" s="11"/>
      <c r="U494" s="11"/>
      <c r="V494" s="11">
        <v>172</v>
      </c>
      <c r="W494" s="11"/>
      <c r="X494" s="11"/>
      <c r="Y494" s="11">
        <v>1</v>
      </c>
      <c r="Z494" s="11"/>
      <c r="AA494" s="11"/>
      <c r="AB494" s="11"/>
      <c r="AC494" s="11">
        <v>180</v>
      </c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>
        <v>180</v>
      </c>
      <c r="AP494" s="11"/>
      <c r="AQ494" s="11"/>
      <c r="AR494" s="11"/>
      <c r="AS494" s="11"/>
      <c r="AT494" s="20" t="str">
        <f>HYPERLINK("http://www.openstreetmap.org/?mlat=36.4228&amp;mlon=43.2323&amp;zoom=12#map=12/36.4228/43.2323","Maplink1")</f>
        <v>Maplink1</v>
      </c>
      <c r="AU494" s="20" t="str">
        <f>HYPERLINK("https://www.google.iq/maps/search/+36.4228,43.2323/@36.4228,43.2323,14z?hl=en","Maplink2")</f>
        <v>Maplink2</v>
      </c>
      <c r="AV494" s="20" t="str">
        <f>HYPERLINK("http://www.bing.com/maps/?lvl=14&amp;sty=h&amp;cp=36.4228~43.2323&amp;sp=point.36.4228_43.2323","Maplink3")</f>
        <v>Maplink3</v>
      </c>
    </row>
    <row r="495" spans="1:48" s="19" customFormat="1" x14ac:dyDescent="0.25">
      <c r="A495" s="9">
        <v>31890</v>
      </c>
      <c r="B495" s="10" t="s">
        <v>20</v>
      </c>
      <c r="C495" s="10" t="s">
        <v>939</v>
      </c>
      <c r="D495" s="10" t="s">
        <v>1054</v>
      </c>
      <c r="E495" s="10" t="s">
        <v>1055</v>
      </c>
      <c r="F495" s="10">
        <v>36.182980000000001</v>
      </c>
      <c r="G495" s="10">
        <v>43.232729999999997</v>
      </c>
      <c r="H495" s="11">
        <v>2550</v>
      </c>
      <c r="I495" s="11">
        <v>15300</v>
      </c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>
        <v>2550</v>
      </c>
      <c r="W495" s="11"/>
      <c r="X495" s="11"/>
      <c r="Y495" s="11"/>
      <c r="Z495" s="11"/>
      <c r="AA495" s="11"/>
      <c r="AB495" s="11"/>
      <c r="AC495" s="11">
        <v>2550</v>
      </c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>
        <v>2550</v>
      </c>
      <c r="AT495" s="20" t="str">
        <f>HYPERLINK("http://www.openstreetmap.org/?mlat=36.183&amp;mlon=43.2327&amp;zoom=12#map=12/36.183/43.2327","Maplink1")</f>
        <v>Maplink1</v>
      </c>
      <c r="AU495" s="20" t="str">
        <f>HYPERLINK("https://www.google.iq/maps/search/+36.183,43.2327/@36.183,43.2327,14z?hl=en","Maplink2")</f>
        <v>Maplink2</v>
      </c>
      <c r="AV495" s="20" t="str">
        <f>HYPERLINK("http://www.bing.com/maps/?lvl=14&amp;sty=h&amp;cp=36.183~43.2327&amp;sp=point.36.183_43.2327","Maplink3")</f>
        <v>Maplink3</v>
      </c>
    </row>
    <row r="496" spans="1:48" s="19" customFormat="1" x14ac:dyDescent="0.25">
      <c r="A496" s="9">
        <v>31893</v>
      </c>
      <c r="B496" s="10" t="s">
        <v>20</v>
      </c>
      <c r="C496" s="10" t="s">
        <v>939</v>
      </c>
      <c r="D496" s="10" t="s">
        <v>1056</v>
      </c>
      <c r="E496" s="10" t="s">
        <v>1057</v>
      </c>
      <c r="F496" s="10">
        <v>35.900759999999998</v>
      </c>
      <c r="G496" s="10">
        <v>43.074590000000001</v>
      </c>
      <c r="H496" s="11">
        <v>90</v>
      </c>
      <c r="I496" s="11">
        <v>540</v>
      </c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>
        <v>90</v>
      </c>
      <c r="W496" s="11"/>
      <c r="X496" s="11"/>
      <c r="Y496" s="11"/>
      <c r="Z496" s="11"/>
      <c r="AA496" s="11"/>
      <c r="AB496" s="11"/>
      <c r="AC496" s="11">
        <v>90</v>
      </c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>
        <v>90</v>
      </c>
      <c r="AS496" s="11"/>
      <c r="AT496" s="20" t="str">
        <f>HYPERLINK("http://www.openstreetmap.org/?mlat=35.9008&amp;mlon=43.0746&amp;zoom=12#map=12/35.9008/43.0746","Maplink1")</f>
        <v>Maplink1</v>
      </c>
      <c r="AU496" s="20" t="str">
        <f>HYPERLINK("https://www.google.iq/maps/search/+35.9008,43.0746/@35.9008,43.0746,14z?hl=en","Maplink2")</f>
        <v>Maplink2</v>
      </c>
      <c r="AV496" s="20" t="str">
        <f>HYPERLINK("http://www.bing.com/maps/?lvl=14&amp;sty=h&amp;cp=35.9008~43.0746&amp;sp=point.35.9008_43.0746","Maplink3")</f>
        <v>Maplink3</v>
      </c>
    </row>
    <row r="497" spans="1:48" s="19" customFormat="1" x14ac:dyDescent="0.25">
      <c r="A497" s="9">
        <v>24379</v>
      </c>
      <c r="B497" s="10" t="s">
        <v>20</v>
      </c>
      <c r="C497" s="10" t="s">
        <v>939</v>
      </c>
      <c r="D497" s="10" t="s">
        <v>1058</v>
      </c>
      <c r="E497" s="10" t="s">
        <v>1059</v>
      </c>
      <c r="F497" s="10">
        <v>36.403925999999998</v>
      </c>
      <c r="G497" s="10">
        <v>43.282671000000001</v>
      </c>
      <c r="H497" s="11">
        <v>90</v>
      </c>
      <c r="I497" s="11">
        <v>540</v>
      </c>
      <c r="J497" s="11"/>
      <c r="K497" s="11"/>
      <c r="L497" s="11"/>
      <c r="M497" s="11"/>
      <c r="N497" s="11">
        <v>40</v>
      </c>
      <c r="O497" s="11"/>
      <c r="P497" s="11">
        <v>20</v>
      </c>
      <c r="Q497" s="11">
        <v>9</v>
      </c>
      <c r="R497" s="11"/>
      <c r="S497" s="11"/>
      <c r="T497" s="11"/>
      <c r="U497" s="11"/>
      <c r="V497" s="11">
        <v>15</v>
      </c>
      <c r="W497" s="11"/>
      <c r="X497" s="11"/>
      <c r="Y497" s="11">
        <v>6</v>
      </c>
      <c r="Z497" s="11"/>
      <c r="AA497" s="11"/>
      <c r="AB497" s="11"/>
      <c r="AC497" s="11">
        <v>90</v>
      </c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>
        <v>90</v>
      </c>
      <c r="AP497" s="11"/>
      <c r="AQ497" s="11"/>
      <c r="AR497" s="11"/>
      <c r="AS497" s="11"/>
      <c r="AT497" s="20" t="str">
        <f>HYPERLINK("http://www.openstreetmap.org/?mlat=36.4039&amp;mlon=43.2827&amp;zoom=12#map=12/36.4039/43.2827","Maplink1")</f>
        <v>Maplink1</v>
      </c>
      <c r="AU497" s="20" t="str">
        <f>HYPERLINK("https://www.google.iq/maps/search/+36.4039,43.2827/@36.4039,43.2827,14z?hl=en","Maplink2")</f>
        <v>Maplink2</v>
      </c>
      <c r="AV497" s="20" t="str">
        <f>HYPERLINK("http://www.bing.com/maps/?lvl=14&amp;sty=h&amp;cp=36.4039~43.2827&amp;sp=point.36.4039_43.2827","Maplink3")</f>
        <v>Maplink3</v>
      </c>
    </row>
    <row r="498" spans="1:48" s="19" customFormat="1" x14ac:dyDescent="0.25">
      <c r="A498" s="9">
        <v>17902</v>
      </c>
      <c r="B498" s="10" t="s">
        <v>20</v>
      </c>
      <c r="C498" s="10" t="s">
        <v>939</v>
      </c>
      <c r="D498" s="10" t="s">
        <v>1060</v>
      </c>
      <c r="E498" s="10" t="s">
        <v>1061</v>
      </c>
      <c r="F498" s="10">
        <v>36.044530000000002</v>
      </c>
      <c r="G498" s="10">
        <v>43.30977</v>
      </c>
      <c r="H498" s="11">
        <v>150</v>
      </c>
      <c r="I498" s="11">
        <v>900</v>
      </c>
      <c r="J498" s="11"/>
      <c r="K498" s="11"/>
      <c r="L498" s="11"/>
      <c r="M498" s="11"/>
      <c r="N498" s="11"/>
      <c r="O498" s="11"/>
      <c r="P498" s="11">
        <v>1</v>
      </c>
      <c r="Q498" s="11"/>
      <c r="R498" s="11">
        <v>2</v>
      </c>
      <c r="S498" s="11"/>
      <c r="T498" s="11"/>
      <c r="U498" s="11"/>
      <c r="V498" s="11">
        <v>147</v>
      </c>
      <c r="W498" s="11"/>
      <c r="X498" s="11"/>
      <c r="Y498" s="11"/>
      <c r="Z498" s="11"/>
      <c r="AA498" s="11"/>
      <c r="AB498" s="11"/>
      <c r="AC498" s="11">
        <v>150</v>
      </c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>
        <v>150</v>
      </c>
      <c r="AT498" s="20" t="str">
        <f>HYPERLINK("http://www.openstreetmap.org/?mlat=36.0445&amp;mlon=43.3098&amp;zoom=12#map=12/36.0445/43.3098","Maplink1")</f>
        <v>Maplink1</v>
      </c>
      <c r="AU498" s="20" t="str">
        <f>HYPERLINK("https://www.google.iq/maps/search/+36.0445,43.3098/@36.0445,43.3098,14z?hl=en","Maplink2")</f>
        <v>Maplink2</v>
      </c>
      <c r="AV498" s="20" t="str">
        <f>HYPERLINK("http://www.bing.com/maps/?lvl=14&amp;sty=h&amp;cp=36.0445~43.3098&amp;sp=point.36.0445_43.3098","Maplink3")</f>
        <v>Maplink3</v>
      </c>
    </row>
    <row r="499" spans="1:48" s="19" customFormat="1" x14ac:dyDescent="0.25">
      <c r="A499" s="9">
        <v>31889</v>
      </c>
      <c r="B499" s="10" t="s">
        <v>20</v>
      </c>
      <c r="C499" s="10" t="s">
        <v>939</v>
      </c>
      <c r="D499" s="10" t="s">
        <v>1062</v>
      </c>
      <c r="E499" s="10" t="s">
        <v>1063</v>
      </c>
      <c r="F499" s="10">
        <v>36.244750000000003</v>
      </c>
      <c r="G499" s="10">
        <v>43.149439999999998</v>
      </c>
      <c r="H499" s="11">
        <v>15</v>
      </c>
      <c r="I499" s="11">
        <v>90</v>
      </c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>
        <v>15</v>
      </c>
      <c r="W499" s="11"/>
      <c r="X499" s="11"/>
      <c r="Y499" s="11"/>
      <c r="Z499" s="11"/>
      <c r="AA499" s="11"/>
      <c r="AB499" s="11"/>
      <c r="AC499" s="11">
        <v>15</v>
      </c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>
        <v>15</v>
      </c>
      <c r="AT499" s="20" t="str">
        <f>HYPERLINK("http://www.openstreetmap.org/?mlat=36.2448&amp;mlon=43.1494&amp;zoom=12#map=12/36.2448/43.1494","Maplink1")</f>
        <v>Maplink1</v>
      </c>
      <c r="AU499" s="20" t="str">
        <f>HYPERLINK("https://www.google.iq/maps/search/+36.2448,43.1494/@36.2448,43.1494,14z?hl=en","Maplink2")</f>
        <v>Maplink2</v>
      </c>
      <c r="AV499" s="20" t="str">
        <f>HYPERLINK("http://www.bing.com/maps/?lvl=14&amp;sty=h&amp;cp=36.2448~43.1494&amp;sp=point.36.2448_43.1494","Maplink3")</f>
        <v>Maplink3</v>
      </c>
    </row>
    <row r="500" spans="1:48" s="19" customFormat="1" x14ac:dyDescent="0.25">
      <c r="A500" s="9">
        <v>31892</v>
      </c>
      <c r="B500" s="10" t="s">
        <v>20</v>
      </c>
      <c r="C500" s="10" t="s">
        <v>939</v>
      </c>
      <c r="D500" s="10" t="s">
        <v>1064</v>
      </c>
      <c r="E500" s="10" t="s">
        <v>1065</v>
      </c>
      <c r="F500" s="10">
        <v>35.903919999999999</v>
      </c>
      <c r="G500" s="10">
        <v>43.218530000000001</v>
      </c>
      <c r="H500" s="11">
        <v>30</v>
      </c>
      <c r="I500" s="11">
        <v>180</v>
      </c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>
        <v>30</v>
      </c>
      <c r="W500" s="11"/>
      <c r="X500" s="11"/>
      <c r="Y500" s="11"/>
      <c r="Z500" s="11"/>
      <c r="AA500" s="11"/>
      <c r="AB500" s="11"/>
      <c r="AC500" s="11">
        <v>30</v>
      </c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>
        <v>30</v>
      </c>
      <c r="AT500" s="20" t="str">
        <f>HYPERLINK("http://www.openstreetmap.org/?mlat=35.9039&amp;mlon=43.2185&amp;zoom=12#map=12/35.9039/43.2185","Maplink1")</f>
        <v>Maplink1</v>
      </c>
      <c r="AU500" s="20" t="str">
        <f>HYPERLINK("https://www.google.iq/maps/search/+35.9039,43.2185/@35.9039,43.2185,14z?hl=en","Maplink2")</f>
        <v>Maplink2</v>
      </c>
      <c r="AV500" s="20" t="str">
        <f>HYPERLINK("http://www.bing.com/maps/?lvl=14&amp;sty=h&amp;cp=35.9039~43.2185&amp;sp=point.35.9039_43.2185","Maplink3")</f>
        <v>Maplink3</v>
      </c>
    </row>
    <row r="501" spans="1:48" s="19" customFormat="1" x14ac:dyDescent="0.25">
      <c r="A501" s="9">
        <v>17922</v>
      </c>
      <c r="B501" s="10" t="s">
        <v>20</v>
      </c>
      <c r="C501" s="10" t="s">
        <v>939</v>
      </c>
      <c r="D501" s="10" t="s">
        <v>1066</v>
      </c>
      <c r="E501" s="10" t="s">
        <v>1067</v>
      </c>
      <c r="F501" s="10">
        <v>35.992576</v>
      </c>
      <c r="G501" s="10">
        <v>43.220658999999998</v>
      </c>
      <c r="H501" s="11">
        <v>1850</v>
      </c>
      <c r="I501" s="11">
        <v>11100</v>
      </c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>
        <v>1850</v>
      </c>
      <c r="W501" s="11"/>
      <c r="X501" s="11"/>
      <c r="Y501" s="11"/>
      <c r="Z501" s="11"/>
      <c r="AA501" s="11"/>
      <c r="AB501" s="11"/>
      <c r="AC501" s="11">
        <v>1850</v>
      </c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>
        <v>1850</v>
      </c>
      <c r="AT501" s="20" t="str">
        <f>HYPERLINK("http://www.openstreetmap.org/?mlat=35.9926&amp;mlon=43.2207&amp;zoom=12#map=12/35.9926/43.2207","Maplink1")</f>
        <v>Maplink1</v>
      </c>
      <c r="AU501" s="20" t="str">
        <f>HYPERLINK("https://www.google.iq/maps/search/+35.9926,43.2207/@35.9926,43.2207,14z?hl=en","Maplink2")</f>
        <v>Maplink2</v>
      </c>
      <c r="AV501" s="20" t="str">
        <f>HYPERLINK("http://www.bing.com/maps/?lvl=14&amp;sty=h&amp;cp=35.9926~43.2207&amp;sp=point.35.9926_43.2207","Maplink3")</f>
        <v>Maplink3</v>
      </c>
    </row>
    <row r="502" spans="1:48" s="19" customFormat="1" x14ac:dyDescent="0.25">
      <c r="A502" s="9">
        <v>17921</v>
      </c>
      <c r="B502" s="10" t="s">
        <v>20</v>
      </c>
      <c r="C502" s="10" t="s">
        <v>939</v>
      </c>
      <c r="D502" s="10" t="s">
        <v>1068</v>
      </c>
      <c r="E502" s="10" t="s">
        <v>1069</v>
      </c>
      <c r="F502" s="10">
        <v>35.935200000000002</v>
      </c>
      <c r="G502" s="10">
        <v>43.270099999999999</v>
      </c>
      <c r="H502" s="11">
        <v>152</v>
      </c>
      <c r="I502" s="11">
        <v>912</v>
      </c>
      <c r="J502" s="11"/>
      <c r="K502" s="11"/>
      <c r="L502" s="11">
        <v>1</v>
      </c>
      <c r="M502" s="11"/>
      <c r="N502" s="11"/>
      <c r="O502" s="11"/>
      <c r="P502" s="11"/>
      <c r="Q502" s="11"/>
      <c r="R502" s="11">
        <v>1</v>
      </c>
      <c r="S502" s="11"/>
      <c r="T502" s="11"/>
      <c r="U502" s="11"/>
      <c r="V502" s="11">
        <v>150</v>
      </c>
      <c r="W502" s="11"/>
      <c r="X502" s="11"/>
      <c r="Y502" s="11"/>
      <c r="Z502" s="11"/>
      <c r="AA502" s="11"/>
      <c r="AB502" s="11"/>
      <c r="AC502" s="11">
        <v>152</v>
      </c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>
        <v>152</v>
      </c>
      <c r="AT502" s="20" t="str">
        <f>HYPERLINK("http://www.openstreetmap.org/?mlat=35.9352&amp;mlon=43.2701&amp;zoom=12#map=12/35.9352/43.2701","Maplink1")</f>
        <v>Maplink1</v>
      </c>
      <c r="AU502" s="20" t="str">
        <f>HYPERLINK("https://www.google.iq/maps/search/+35.9352,43.2701/@35.9352,43.2701,14z?hl=en","Maplink2")</f>
        <v>Maplink2</v>
      </c>
      <c r="AV502" s="20" t="str">
        <f>HYPERLINK("http://www.bing.com/maps/?lvl=14&amp;sty=h&amp;cp=35.9352~43.2701&amp;sp=point.35.9352_43.2701","Maplink3")</f>
        <v>Maplink3</v>
      </c>
    </row>
    <row r="503" spans="1:48" s="19" customFormat="1" x14ac:dyDescent="0.25">
      <c r="A503" s="9">
        <v>31886</v>
      </c>
      <c r="B503" s="10" t="s">
        <v>20</v>
      </c>
      <c r="C503" s="10" t="s">
        <v>939</v>
      </c>
      <c r="D503" s="10" t="s">
        <v>1070</v>
      </c>
      <c r="E503" s="10" t="s">
        <v>1071</v>
      </c>
      <c r="F503" s="10">
        <v>36.169798</v>
      </c>
      <c r="G503" s="10">
        <v>43.213689000000002</v>
      </c>
      <c r="H503" s="11">
        <v>50</v>
      </c>
      <c r="I503" s="11">
        <v>300</v>
      </c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>
        <v>50</v>
      </c>
      <c r="W503" s="11"/>
      <c r="X503" s="11"/>
      <c r="Y503" s="11"/>
      <c r="Z503" s="11"/>
      <c r="AA503" s="11"/>
      <c r="AB503" s="11"/>
      <c r="AC503" s="11">
        <v>50</v>
      </c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>
        <v>50</v>
      </c>
      <c r="AT503" s="20" t="str">
        <f>HYPERLINK("http://www.openstreetmap.org/?mlat=36.1698&amp;mlon=43.2137&amp;zoom=12#map=12/36.1698/43.2137","Maplink1")</f>
        <v>Maplink1</v>
      </c>
      <c r="AU503" s="20" t="str">
        <f>HYPERLINK("https://www.google.iq/maps/search/+36.1698,43.2137/@36.1698,43.2137,14z?hl=en","Maplink2")</f>
        <v>Maplink2</v>
      </c>
      <c r="AV503" s="20" t="str">
        <f>HYPERLINK("http://www.bing.com/maps/?lvl=14&amp;sty=h&amp;cp=36.1698~43.2137&amp;sp=point.36.1698_43.2137","Maplink3")</f>
        <v>Maplink3</v>
      </c>
    </row>
    <row r="504" spans="1:48" s="19" customFormat="1" x14ac:dyDescent="0.25">
      <c r="A504" s="9">
        <v>31884</v>
      </c>
      <c r="B504" s="10" t="s">
        <v>20</v>
      </c>
      <c r="C504" s="10" t="s">
        <v>939</v>
      </c>
      <c r="D504" s="10" t="s">
        <v>1072</v>
      </c>
      <c r="E504" s="10" t="s">
        <v>1073</v>
      </c>
      <c r="F504" s="10">
        <v>36.147499000000003</v>
      </c>
      <c r="G504" s="10">
        <v>43.221722</v>
      </c>
      <c r="H504" s="11">
        <v>80</v>
      </c>
      <c r="I504" s="11">
        <v>480</v>
      </c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>
        <v>80</v>
      </c>
      <c r="W504" s="11"/>
      <c r="X504" s="11"/>
      <c r="Y504" s="11"/>
      <c r="Z504" s="11"/>
      <c r="AA504" s="11"/>
      <c r="AB504" s="11"/>
      <c r="AC504" s="11">
        <v>80</v>
      </c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>
        <v>80</v>
      </c>
      <c r="AT504" s="20" t="str">
        <f>HYPERLINK("http://www.openstreetmap.org/?mlat=36.1475&amp;mlon=43.2217&amp;zoom=12#map=12/36.1475/43.2217","Maplink1")</f>
        <v>Maplink1</v>
      </c>
      <c r="AU504" s="20" t="str">
        <f>HYPERLINK("https://www.google.iq/maps/search/+36.1475,43.2217/@36.1475,43.2217,14z?hl=en","Maplink2")</f>
        <v>Maplink2</v>
      </c>
      <c r="AV504" s="20" t="str">
        <f>HYPERLINK("http://www.bing.com/maps/?lvl=14&amp;sty=h&amp;cp=36.1475~43.2217&amp;sp=point.36.1475_43.2217","Maplink3")</f>
        <v>Maplink3</v>
      </c>
    </row>
    <row r="505" spans="1:48" s="19" customFormat="1" x14ac:dyDescent="0.25">
      <c r="A505" s="9">
        <v>24203</v>
      </c>
      <c r="B505" s="10" t="s">
        <v>20</v>
      </c>
      <c r="C505" s="10" t="s">
        <v>939</v>
      </c>
      <c r="D505" s="10" t="s">
        <v>1074</v>
      </c>
      <c r="E505" s="10" t="s">
        <v>1075</v>
      </c>
      <c r="F505" s="10">
        <v>36.408839999999998</v>
      </c>
      <c r="G505" s="10">
        <v>43.380549000000002</v>
      </c>
      <c r="H505" s="11">
        <v>334</v>
      </c>
      <c r="I505" s="11">
        <v>2004</v>
      </c>
      <c r="J505" s="11"/>
      <c r="K505" s="11"/>
      <c r="L505" s="11"/>
      <c r="M505" s="11"/>
      <c r="N505" s="11">
        <v>10</v>
      </c>
      <c r="O505" s="11">
        <v>40</v>
      </c>
      <c r="P505" s="11">
        <v>90</v>
      </c>
      <c r="Q505" s="11">
        <v>30</v>
      </c>
      <c r="R505" s="11">
        <v>3</v>
      </c>
      <c r="S505" s="11"/>
      <c r="T505" s="11">
        <v>4</v>
      </c>
      <c r="U505" s="11">
        <v>12</v>
      </c>
      <c r="V505" s="11">
        <v>117</v>
      </c>
      <c r="W505" s="11">
        <v>3</v>
      </c>
      <c r="X505" s="11"/>
      <c r="Y505" s="11">
        <v>2</v>
      </c>
      <c r="Z505" s="11">
        <v>6</v>
      </c>
      <c r="AA505" s="11">
        <v>17</v>
      </c>
      <c r="AB505" s="11"/>
      <c r="AC505" s="11">
        <v>319</v>
      </c>
      <c r="AD505" s="11"/>
      <c r="AE505" s="11"/>
      <c r="AF505" s="11"/>
      <c r="AG505" s="11"/>
      <c r="AH505" s="11"/>
      <c r="AI505" s="11"/>
      <c r="AJ505" s="11"/>
      <c r="AK505" s="11">
        <v>15</v>
      </c>
      <c r="AL505" s="11"/>
      <c r="AM505" s="11"/>
      <c r="AN505" s="11"/>
      <c r="AO505" s="11">
        <v>334</v>
      </c>
      <c r="AP505" s="11"/>
      <c r="AQ505" s="11"/>
      <c r="AR505" s="11"/>
      <c r="AS505" s="11"/>
      <c r="AT505" s="20" t="str">
        <f>HYPERLINK("http://www.openstreetmap.org/?mlat=36.4088&amp;mlon=43.3805&amp;zoom=12#map=12/36.4088/43.3805","Maplink1")</f>
        <v>Maplink1</v>
      </c>
      <c r="AU505" s="20" t="str">
        <f>HYPERLINK("https://www.google.iq/maps/search/+36.4088,43.3805/@36.4088,43.3805,14z?hl=en","Maplink2")</f>
        <v>Maplink2</v>
      </c>
      <c r="AV505" s="20" t="str">
        <f>HYPERLINK("http://www.bing.com/maps/?lvl=14&amp;sty=h&amp;cp=36.4088~43.3805&amp;sp=point.36.4088_43.3805","Maplink3")</f>
        <v>Maplink3</v>
      </c>
    </row>
    <row r="506" spans="1:48" s="19" customFormat="1" x14ac:dyDescent="0.25">
      <c r="A506" s="9">
        <v>24384</v>
      </c>
      <c r="B506" s="10" t="s">
        <v>20</v>
      </c>
      <c r="C506" s="10" t="s">
        <v>939</v>
      </c>
      <c r="D506" s="10" t="s">
        <v>1076</v>
      </c>
      <c r="E506" s="10" t="s">
        <v>1077</v>
      </c>
      <c r="F506" s="10">
        <v>36.399686000000003</v>
      </c>
      <c r="G506" s="10">
        <v>43.379949000000003</v>
      </c>
      <c r="H506" s="11">
        <v>120</v>
      </c>
      <c r="I506" s="11">
        <v>720</v>
      </c>
      <c r="J506" s="11"/>
      <c r="K506" s="11"/>
      <c r="L506" s="11"/>
      <c r="M506" s="11"/>
      <c r="N506" s="11">
        <v>16</v>
      </c>
      <c r="O506" s="11"/>
      <c r="P506" s="11">
        <v>20</v>
      </c>
      <c r="Q506" s="11"/>
      <c r="R506" s="11"/>
      <c r="S506" s="11">
        <v>12</v>
      </c>
      <c r="T506" s="11"/>
      <c r="U506" s="11">
        <v>12</v>
      </c>
      <c r="V506" s="11">
        <v>15</v>
      </c>
      <c r="W506" s="11">
        <v>25</v>
      </c>
      <c r="X506" s="11"/>
      <c r="Y506" s="11"/>
      <c r="Z506" s="11"/>
      <c r="AA506" s="11">
        <v>20</v>
      </c>
      <c r="AB506" s="11"/>
      <c r="AC506" s="11">
        <v>120</v>
      </c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>
        <v>120</v>
      </c>
      <c r="AP506" s="11"/>
      <c r="AQ506" s="11"/>
      <c r="AR506" s="11"/>
      <c r="AS506" s="11"/>
      <c r="AT506" s="20" t="str">
        <f>HYPERLINK("http://www.openstreetmap.org/?mlat=36.3997&amp;mlon=43.3799&amp;zoom=12#map=12/36.3997/43.3799","Maplink1")</f>
        <v>Maplink1</v>
      </c>
      <c r="AU506" s="20" t="str">
        <f>HYPERLINK("https://www.google.iq/maps/search/+36.3997,43.3799/@36.3997,43.3799,14z?hl=en","Maplink2")</f>
        <v>Maplink2</v>
      </c>
      <c r="AV506" s="20" t="str">
        <f>HYPERLINK("http://www.bing.com/maps/?lvl=14&amp;sty=h&amp;cp=36.3997~43.3799&amp;sp=point.36.3997_43.3799","Maplink3")</f>
        <v>Maplink3</v>
      </c>
    </row>
    <row r="507" spans="1:48" s="19" customFormat="1" x14ac:dyDescent="0.25">
      <c r="A507" s="9">
        <v>22431</v>
      </c>
      <c r="B507" s="10" t="s">
        <v>20</v>
      </c>
      <c r="C507" s="10" t="s">
        <v>939</v>
      </c>
      <c r="D507" s="10" t="s">
        <v>1078</v>
      </c>
      <c r="E507" s="10" t="s">
        <v>1079</v>
      </c>
      <c r="F507" s="10">
        <v>36.446199999999997</v>
      </c>
      <c r="G507" s="10">
        <v>43.254100000000001</v>
      </c>
      <c r="H507" s="11">
        <v>65</v>
      </c>
      <c r="I507" s="11">
        <v>390</v>
      </c>
      <c r="J507" s="11"/>
      <c r="K507" s="11"/>
      <c r="L507" s="11"/>
      <c r="M507" s="11"/>
      <c r="N507" s="11">
        <v>10</v>
      </c>
      <c r="O507" s="11">
        <v>1</v>
      </c>
      <c r="P507" s="11">
        <v>6</v>
      </c>
      <c r="Q507" s="11"/>
      <c r="R507" s="11"/>
      <c r="S507" s="11"/>
      <c r="T507" s="11"/>
      <c r="U507" s="11"/>
      <c r="V507" s="11">
        <v>41</v>
      </c>
      <c r="W507" s="11">
        <v>1</v>
      </c>
      <c r="X507" s="11"/>
      <c r="Y507" s="11">
        <v>5</v>
      </c>
      <c r="Z507" s="11"/>
      <c r="AA507" s="11">
        <v>1</v>
      </c>
      <c r="AB507" s="11"/>
      <c r="AC507" s="11">
        <v>65</v>
      </c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>
        <v>65</v>
      </c>
      <c r="AP507" s="11"/>
      <c r="AQ507" s="11"/>
      <c r="AR507" s="11"/>
      <c r="AS507" s="11"/>
      <c r="AT507" s="20" t="str">
        <f>HYPERLINK("http://www.openstreetmap.org/?mlat=36.4462&amp;mlon=43.2541&amp;zoom=12#map=12/36.4462/43.2541","Maplink1")</f>
        <v>Maplink1</v>
      </c>
      <c r="AU507" s="20" t="str">
        <f>HYPERLINK("https://www.google.iq/maps/search/+36.4462,43.2541/@36.4462,43.2541,14z?hl=en","Maplink2")</f>
        <v>Maplink2</v>
      </c>
      <c r="AV507" s="20" t="str">
        <f>HYPERLINK("http://www.bing.com/maps/?lvl=14&amp;sty=h&amp;cp=36.4462~43.2541&amp;sp=point.36.4462_43.2541","Maplink3")</f>
        <v>Maplink3</v>
      </c>
    </row>
    <row r="508" spans="1:48" s="19" customFormat="1" x14ac:dyDescent="0.25">
      <c r="A508" s="9">
        <v>17965</v>
      </c>
      <c r="B508" s="10" t="s">
        <v>20</v>
      </c>
      <c r="C508" s="10" t="s">
        <v>939</v>
      </c>
      <c r="D508" s="10" t="s">
        <v>1080</v>
      </c>
      <c r="E508" s="10" t="s">
        <v>1081</v>
      </c>
      <c r="F508" s="10">
        <v>35.943519000000002</v>
      </c>
      <c r="G508" s="10">
        <v>43.318930999999999</v>
      </c>
      <c r="H508" s="11">
        <v>5000</v>
      </c>
      <c r="I508" s="11">
        <v>30000</v>
      </c>
      <c r="J508" s="11"/>
      <c r="K508" s="11"/>
      <c r="L508" s="11"/>
      <c r="M508" s="11"/>
      <c r="N508" s="11"/>
      <c r="O508" s="11"/>
      <c r="P508" s="11">
        <v>10</v>
      </c>
      <c r="Q508" s="11"/>
      <c r="R508" s="11">
        <v>5</v>
      </c>
      <c r="S508" s="11"/>
      <c r="T508" s="11"/>
      <c r="U508" s="11"/>
      <c r="V508" s="11">
        <v>4985</v>
      </c>
      <c r="W508" s="11"/>
      <c r="X508" s="11"/>
      <c r="Y508" s="11"/>
      <c r="Z508" s="11"/>
      <c r="AA508" s="11"/>
      <c r="AB508" s="11"/>
      <c r="AC508" s="11">
        <v>5000</v>
      </c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>
        <v>15</v>
      </c>
      <c r="AQ508" s="11"/>
      <c r="AR508" s="11"/>
      <c r="AS508" s="11">
        <v>4985</v>
      </c>
      <c r="AT508" s="20" t="str">
        <f>HYPERLINK("http://www.openstreetmap.org/?mlat=35.9435&amp;mlon=43.3189&amp;zoom=12#map=12/35.9435/43.3189","Maplink1")</f>
        <v>Maplink1</v>
      </c>
      <c r="AU508" s="20" t="str">
        <f>HYPERLINK("https://www.google.iq/maps/search/+35.9435,43.3189/@35.9435,43.3189,14z?hl=en","Maplink2")</f>
        <v>Maplink2</v>
      </c>
      <c r="AV508" s="20" t="str">
        <f>HYPERLINK("http://www.bing.com/maps/?lvl=14&amp;sty=h&amp;cp=35.9435~43.3189&amp;sp=point.35.9435_43.3189","Maplink3")</f>
        <v>Maplink3</v>
      </c>
    </row>
    <row r="509" spans="1:48" s="19" customFormat="1" x14ac:dyDescent="0.25">
      <c r="A509" s="9">
        <v>21583</v>
      </c>
      <c r="B509" s="10" t="s">
        <v>20</v>
      </c>
      <c r="C509" s="10" t="s">
        <v>939</v>
      </c>
      <c r="D509" s="10" t="s">
        <v>1082</v>
      </c>
      <c r="E509" s="10" t="s">
        <v>1083</v>
      </c>
      <c r="F509" s="10">
        <v>36.386099999999999</v>
      </c>
      <c r="G509" s="10">
        <v>43.352200000000003</v>
      </c>
      <c r="H509" s="11">
        <v>360</v>
      </c>
      <c r="I509" s="11">
        <v>2160</v>
      </c>
      <c r="J509" s="11"/>
      <c r="K509" s="11">
        <v>5</v>
      </c>
      <c r="L509" s="11">
        <v>2</v>
      </c>
      <c r="M509" s="11"/>
      <c r="N509" s="11">
        <v>20</v>
      </c>
      <c r="O509" s="11"/>
      <c r="P509" s="11">
        <v>72</v>
      </c>
      <c r="Q509" s="11">
        <v>5</v>
      </c>
      <c r="R509" s="11"/>
      <c r="S509" s="11"/>
      <c r="T509" s="11"/>
      <c r="U509" s="11"/>
      <c r="V509" s="11">
        <v>240</v>
      </c>
      <c r="W509" s="11">
        <v>2</v>
      </c>
      <c r="X509" s="11"/>
      <c r="Y509" s="11">
        <v>8</v>
      </c>
      <c r="Z509" s="11"/>
      <c r="AA509" s="11">
        <v>6</v>
      </c>
      <c r="AB509" s="11"/>
      <c r="AC509" s="11">
        <v>360</v>
      </c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>
        <v>190</v>
      </c>
      <c r="AP509" s="11"/>
      <c r="AQ509" s="11"/>
      <c r="AR509" s="11"/>
      <c r="AS509" s="11">
        <v>170</v>
      </c>
      <c r="AT509" s="20" t="str">
        <f>HYPERLINK("http://www.openstreetmap.org/?mlat=36.3861&amp;mlon=43.3522&amp;zoom=12#map=12/36.3861/43.3522","Maplink1")</f>
        <v>Maplink1</v>
      </c>
      <c r="AU509" s="20" t="str">
        <f>HYPERLINK("https://www.google.iq/maps/search/+36.3861,43.3522/@36.3861,43.3522,14z?hl=en","Maplink2")</f>
        <v>Maplink2</v>
      </c>
      <c r="AV509" s="20" t="str">
        <f>HYPERLINK("http://www.bing.com/maps/?lvl=14&amp;sty=h&amp;cp=36.3861~43.3522&amp;sp=point.36.3861_43.3522","Maplink3")</f>
        <v>Maplink3</v>
      </c>
    </row>
    <row r="510" spans="1:48" s="19" customFormat="1" x14ac:dyDescent="0.25">
      <c r="A510" s="9">
        <v>27396</v>
      </c>
      <c r="B510" s="10" t="s">
        <v>20</v>
      </c>
      <c r="C510" s="10" t="s">
        <v>1084</v>
      </c>
      <c r="D510" s="10" t="s">
        <v>1085</v>
      </c>
      <c r="E510" s="10" t="s">
        <v>1086</v>
      </c>
      <c r="F510" s="10">
        <v>36.442680490000001</v>
      </c>
      <c r="G510" s="10">
        <v>41.75859475</v>
      </c>
      <c r="H510" s="11">
        <v>163</v>
      </c>
      <c r="I510" s="11">
        <v>978</v>
      </c>
      <c r="J510" s="11"/>
      <c r="K510" s="11"/>
      <c r="L510" s="11"/>
      <c r="M510" s="11"/>
      <c r="N510" s="11">
        <v>145</v>
      </c>
      <c r="O510" s="11"/>
      <c r="P510" s="11"/>
      <c r="Q510" s="11"/>
      <c r="R510" s="11"/>
      <c r="S510" s="11"/>
      <c r="T510" s="11"/>
      <c r="U510" s="11"/>
      <c r="V510" s="11">
        <v>18</v>
      </c>
      <c r="W510" s="11"/>
      <c r="X510" s="11"/>
      <c r="Y510" s="11"/>
      <c r="Z510" s="11"/>
      <c r="AA510" s="11"/>
      <c r="AB510" s="11"/>
      <c r="AC510" s="11">
        <v>163</v>
      </c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>
        <v>163</v>
      </c>
      <c r="AP510" s="11"/>
      <c r="AQ510" s="11"/>
      <c r="AR510" s="11"/>
      <c r="AS510" s="11"/>
      <c r="AT510" s="20" t="str">
        <f>HYPERLINK("http://www.openstreetmap.org/?mlat=36.4427&amp;mlon=41.7586&amp;zoom=12#map=12/36.4427/41.7586","Maplink1")</f>
        <v>Maplink1</v>
      </c>
      <c r="AU510" s="20" t="str">
        <f>HYPERLINK("https://www.google.iq/maps/search/+36.4427,41.7586/@36.4427,41.7586,14z?hl=en","Maplink2")</f>
        <v>Maplink2</v>
      </c>
      <c r="AV510" s="20" t="str">
        <f>HYPERLINK("http://www.bing.com/maps/?lvl=14&amp;sty=h&amp;cp=36.4427~41.7586&amp;sp=point.36.4427_41.7586","Maplink3")</f>
        <v>Maplink3</v>
      </c>
    </row>
    <row r="511" spans="1:48" s="19" customFormat="1" x14ac:dyDescent="0.25">
      <c r="A511" s="9">
        <v>27403</v>
      </c>
      <c r="B511" s="10" t="s">
        <v>20</v>
      </c>
      <c r="C511" s="10" t="s">
        <v>1084</v>
      </c>
      <c r="D511" s="10" t="s">
        <v>1087</v>
      </c>
      <c r="E511" s="10" t="s">
        <v>1088</v>
      </c>
      <c r="F511" s="10">
        <v>36.451784000000004</v>
      </c>
      <c r="G511" s="10">
        <v>41.71119736</v>
      </c>
      <c r="H511" s="11">
        <v>158</v>
      </c>
      <c r="I511" s="11">
        <v>948</v>
      </c>
      <c r="J511" s="11"/>
      <c r="K511" s="11"/>
      <c r="L511" s="11"/>
      <c r="M511" s="11"/>
      <c r="N511" s="11">
        <v>158</v>
      </c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>
        <v>158</v>
      </c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>
        <v>158</v>
      </c>
      <c r="AP511" s="11"/>
      <c r="AQ511" s="11"/>
      <c r="AR511" s="11"/>
      <c r="AS511" s="11"/>
      <c r="AT511" s="20" t="str">
        <f>HYPERLINK("http://www.openstreetmap.org/?mlat=36.4518&amp;mlon=41.7112&amp;zoom=12#map=12/36.4518/41.7112","Maplink1")</f>
        <v>Maplink1</v>
      </c>
      <c r="AU511" s="20" t="str">
        <f>HYPERLINK("https://www.google.iq/maps/search/+36.4518,41.7112/@36.4518,41.7112,14z?hl=en","Maplink2")</f>
        <v>Maplink2</v>
      </c>
      <c r="AV511" s="20" t="str">
        <f>HYPERLINK("http://www.bing.com/maps/?lvl=14&amp;sty=h&amp;cp=36.4518~41.7112&amp;sp=point.36.4518_41.7112","Maplink3")</f>
        <v>Maplink3</v>
      </c>
    </row>
    <row r="512" spans="1:48" s="19" customFormat="1" x14ac:dyDescent="0.25">
      <c r="A512" s="9">
        <v>28415</v>
      </c>
      <c r="B512" s="10" t="s">
        <v>20</v>
      </c>
      <c r="C512" s="10" t="s">
        <v>1084</v>
      </c>
      <c r="D512" s="10" t="s">
        <v>1089</v>
      </c>
      <c r="E512" s="10" t="s">
        <v>1090</v>
      </c>
      <c r="F512" s="10">
        <v>36.416754109999999</v>
      </c>
      <c r="G512" s="10">
        <v>41.913282879999997</v>
      </c>
      <c r="H512" s="11">
        <v>68</v>
      </c>
      <c r="I512" s="11">
        <v>408</v>
      </c>
      <c r="J512" s="11"/>
      <c r="K512" s="11"/>
      <c r="L512" s="11"/>
      <c r="M512" s="11"/>
      <c r="N512" s="11">
        <v>54</v>
      </c>
      <c r="O512" s="11"/>
      <c r="P512" s="11"/>
      <c r="Q512" s="11"/>
      <c r="R512" s="11"/>
      <c r="S512" s="11"/>
      <c r="T512" s="11"/>
      <c r="U512" s="11"/>
      <c r="V512" s="11">
        <v>14</v>
      </c>
      <c r="W512" s="11"/>
      <c r="X512" s="11"/>
      <c r="Y512" s="11"/>
      <c r="Z512" s="11"/>
      <c r="AA512" s="11"/>
      <c r="AB512" s="11"/>
      <c r="AC512" s="11">
        <v>25</v>
      </c>
      <c r="AD512" s="11"/>
      <c r="AE512" s="11"/>
      <c r="AF512" s="11">
        <v>38</v>
      </c>
      <c r="AG512" s="11"/>
      <c r="AH512" s="11"/>
      <c r="AI512" s="11"/>
      <c r="AJ512" s="11"/>
      <c r="AK512" s="11">
        <v>5</v>
      </c>
      <c r="AL512" s="11"/>
      <c r="AM512" s="11"/>
      <c r="AN512" s="11"/>
      <c r="AO512" s="11">
        <v>68</v>
      </c>
      <c r="AP512" s="11"/>
      <c r="AQ512" s="11"/>
      <c r="AR512" s="11"/>
      <c r="AS512" s="11"/>
      <c r="AT512" s="20" t="str">
        <f>HYPERLINK("http://www.openstreetmap.org/?mlat=36.4168&amp;mlon=41.9133&amp;zoom=12#map=12/36.4168/41.9133","Maplink1")</f>
        <v>Maplink1</v>
      </c>
      <c r="AU512" s="20" t="str">
        <f>HYPERLINK("https://www.google.iq/maps/search/+36.4168,41.9133/@36.4168,41.9133,14z?hl=en","Maplink2")</f>
        <v>Maplink2</v>
      </c>
      <c r="AV512" s="20" t="str">
        <f>HYPERLINK("http://www.bing.com/maps/?lvl=14&amp;sty=h&amp;cp=36.4168~41.9133&amp;sp=point.36.4168_41.9133","Maplink3")</f>
        <v>Maplink3</v>
      </c>
    </row>
    <row r="513" spans="1:48" s="19" customFormat="1" x14ac:dyDescent="0.25">
      <c r="A513" s="9">
        <v>27366</v>
      </c>
      <c r="B513" s="10" t="s">
        <v>20</v>
      </c>
      <c r="C513" s="10" t="s">
        <v>1084</v>
      </c>
      <c r="D513" s="10" t="s">
        <v>1091</v>
      </c>
      <c r="E513" s="10" t="s">
        <v>1092</v>
      </c>
      <c r="F513" s="10">
        <v>36.424752769999998</v>
      </c>
      <c r="G513" s="10">
        <v>41.698482769999998</v>
      </c>
      <c r="H513" s="11">
        <v>82</v>
      </c>
      <c r="I513" s="11">
        <v>492</v>
      </c>
      <c r="J513" s="11"/>
      <c r="K513" s="11"/>
      <c r="L513" s="11"/>
      <c r="M513" s="11"/>
      <c r="N513" s="11">
        <v>82</v>
      </c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>
        <v>82</v>
      </c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>
        <v>82</v>
      </c>
      <c r="AP513" s="11"/>
      <c r="AQ513" s="11"/>
      <c r="AR513" s="11"/>
      <c r="AS513" s="11"/>
      <c r="AT513" s="20" t="str">
        <f>HYPERLINK("http://www.openstreetmap.org/?mlat=36.4248&amp;mlon=41.6985&amp;zoom=12#map=12/36.4248/41.6985","Maplink1")</f>
        <v>Maplink1</v>
      </c>
      <c r="AU513" s="20" t="str">
        <f>HYPERLINK("https://www.google.iq/maps/search/+36.4248,41.6985/@36.4248,41.6985,14z?hl=en","Maplink2")</f>
        <v>Maplink2</v>
      </c>
      <c r="AV513" s="20" t="str">
        <f>HYPERLINK("http://www.bing.com/maps/?lvl=14&amp;sty=h&amp;cp=36.4248~41.6985&amp;sp=point.36.4248_41.6985","Maplink3")</f>
        <v>Maplink3</v>
      </c>
    </row>
    <row r="514" spans="1:48" s="19" customFormat="1" x14ac:dyDescent="0.25">
      <c r="A514" s="9">
        <v>28416</v>
      </c>
      <c r="B514" s="10" t="s">
        <v>20</v>
      </c>
      <c r="C514" s="10" t="s">
        <v>1084</v>
      </c>
      <c r="D514" s="10" t="s">
        <v>1093</v>
      </c>
      <c r="E514" s="10" t="s">
        <v>1094</v>
      </c>
      <c r="F514" s="10">
        <v>36.4429364728</v>
      </c>
      <c r="G514" s="10">
        <v>41.796168000400002</v>
      </c>
      <c r="H514" s="11">
        <v>8</v>
      </c>
      <c r="I514" s="11">
        <v>48</v>
      </c>
      <c r="J514" s="11"/>
      <c r="K514" s="11"/>
      <c r="L514" s="11"/>
      <c r="M514" s="11"/>
      <c r="N514" s="11">
        <v>8</v>
      </c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>
        <v>8</v>
      </c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>
        <v>8</v>
      </c>
      <c r="AP514" s="11"/>
      <c r="AQ514" s="11"/>
      <c r="AR514" s="11"/>
      <c r="AS514" s="11"/>
      <c r="AT514" s="20" t="str">
        <f>HYPERLINK("http://www.openstreetmap.org/?mlat=36.4429&amp;mlon=41.7962&amp;zoom=12#map=12/36.4429/41.7962","Maplink1")</f>
        <v>Maplink1</v>
      </c>
      <c r="AU514" s="20" t="str">
        <f>HYPERLINK("https://www.google.iq/maps/search/+36.4429,41.7962/@36.4429,41.7962,14z?hl=en","Maplink2")</f>
        <v>Maplink2</v>
      </c>
      <c r="AV514" s="20" t="str">
        <f>HYPERLINK("http://www.bing.com/maps/?lvl=14&amp;sty=h&amp;cp=36.4429~41.7962&amp;sp=point.36.4429_41.7962","Maplink3")</f>
        <v>Maplink3</v>
      </c>
    </row>
    <row r="515" spans="1:48" s="19" customFormat="1" x14ac:dyDescent="0.25">
      <c r="A515" s="9">
        <v>27360</v>
      </c>
      <c r="B515" s="10" t="s">
        <v>20</v>
      </c>
      <c r="C515" s="10" t="s">
        <v>1084</v>
      </c>
      <c r="D515" s="10" t="s">
        <v>1095</v>
      </c>
      <c r="E515" s="10" t="s">
        <v>1096</v>
      </c>
      <c r="F515" s="10">
        <v>36.371200000000002</v>
      </c>
      <c r="G515" s="10">
        <v>41.490699999999997</v>
      </c>
      <c r="H515" s="11">
        <v>30</v>
      </c>
      <c r="I515" s="11">
        <v>180</v>
      </c>
      <c r="J515" s="11"/>
      <c r="K515" s="11"/>
      <c r="L515" s="11"/>
      <c r="M515" s="11"/>
      <c r="N515" s="11">
        <v>30</v>
      </c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>
        <v>30</v>
      </c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>
        <v>30</v>
      </c>
      <c r="AP515" s="11"/>
      <c r="AQ515" s="11"/>
      <c r="AR515" s="11"/>
      <c r="AS515" s="11"/>
      <c r="AT515" s="20" t="str">
        <f>HYPERLINK("http://www.openstreetmap.org/?mlat=36.3712&amp;mlon=41.4907&amp;zoom=12#map=12/36.3712/41.4907","Maplink1")</f>
        <v>Maplink1</v>
      </c>
      <c r="AU515" s="20" t="str">
        <f>HYPERLINK("https://www.google.iq/maps/search/+36.3712,41.4907/@36.3712,41.4907,14z?hl=en","Maplink2")</f>
        <v>Maplink2</v>
      </c>
      <c r="AV515" s="20" t="str">
        <f>HYPERLINK("http://www.bing.com/maps/?lvl=14&amp;sty=h&amp;cp=36.3712~41.4907&amp;sp=point.36.3712_41.4907","Maplink3")</f>
        <v>Maplink3</v>
      </c>
    </row>
    <row r="516" spans="1:48" s="19" customFormat="1" x14ac:dyDescent="0.25">
      <c r="A516" s="9">
        <v>27365</v>
      </c>
      <c r="B516" s="10" t="s">
        <v>20</v>
      </c>
      <c r="C516" s="10" t="s">
        <v>1084</v>
      </c>
      <c r="D516" s="10" t="s">
        <v>1097</v>
      </c>
      <c r="E516" s="10" t="s">
        <v>1098</v>
      </c>
      <c r="F516" s="10">
        <v>36.435619520000003</v>
      </c>
      <c r="G516" s="10">
        <v>41.900978129999999</v>
      </c>
      <c r="H516" s="11">
        <v>30</v>
      </c>
      <c r="I516" s="11">
        <v>180</v>
      </c>
      <c r="J516" s="11"/>
      <c r="K516" s="11"/>
      <c r="L516" s="11"/>
      <c r="M516" s="11"/>
      <c r="N516" s="11">
        <v>30</v>
      </c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>
        <v>25</v>
      </c>
      <c r="AD516" s="11"/>
      <c r="AE516" s="11"/>
      <c r="AF516" s="11"/>
      <c r="AG516" s="11"/>
      <c r="AH516" s="11"/>
      <c r="AI516" s="11"/>
      <c r="AJ516" s="11"/>
      <c r="AK516" s="11">
        <v>5</v>
      </c>
      <c r="AL516" s="11"/>
      <c r="AM516" s="11"/>
      <c r="AN516" s="11"/>
      <c r="AO516" s="11">
        <v>30</v>
      </c>
      <c r="AP516" s="11"/>
      <c r="AQ516" s="11"/>
      <c r="AR516" s="11"/>
      <c r="AS516" s="11"/>
      <c r="AT516" s="20" t="str">
        <f>HYPERLINK("http://www.openstreetmap.org/?mlat=36.4356&amp;mlon=41.901&amp;zoom=12#map=12/36.4356/41.901","Maplink1")</f>
        <v>Maplink1</v>
      </c>
      <c r="AU516" s="20" t="str">
        <f>HYPERLINK("https://www.google.iq/maps/search/+36.4356,41.901/@36.4356,41.901,14z?hl=en","Maplink2")</f>
        <v>Maplink2</v>
      </c>
      <c r="AV516" s="20" t="str">
        <f>HYPERLINK("http://www.bing.com/maps/?lvl=14&amp;sty=h&amp;cp=36.4356~41.901&amp;sp=point.36.4356_41.901","Maplink3")</f>
        <v>Maplink3</v>
      </c>
    </row>
    <row r="517" spans="1:48" s="19" customFormat="1" x14ac:dyDescent="0.25">
      <c r="A517" s="9">
        <v>17720</v>
      </c>
      <c r="B517" s="10" t="s">
        <v>20</v>
      </c>
      <c r="C517" s="10" t="s">
        <v>1084</v>
      </c>
      <c r="D517" s="10" t="s">
        <v>1099</v>
      </c>
      <c r="E517" s="10" t="s">
        <v>1100</v>
      </c>
      <c r="F517" s="10">
        <v>36.556369750000002</v>
      </c>
      <c r="G517" s="10">
        <v>41.765707130000003</v>
      </c>
      <c r="H517" s="11">
        <v>10</v>
      </c>
      <c r="I517" s="11">
        <v>60</v>
      </c>
      <c r="J517" s="11"/>
      <c r="K517" s="11"/>
      <c r="L517" s="11"/>
      <c r="M517" s="11"/>
      <c r="N517" s="11">
        <v>10</v>
      </c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>
        <v>10</v>
      </c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>
        <v>10</v>
      </c>
      <c r="AP517" s="11"/>
      <c r="AQ517" s="11"/>
      <c r="AR517" s="11"/>
      <c r="AS517" s="11"/>
      <c r="AT517" s="20" t="str">
        <f>HYPERLINK("http://www.openstreetmap.org/?mlat=36.5564&amp;mlon=41.7657&amp;zoom=12#map=12/36.5564/41.7657","Maplink1")</f>
        <v>Maplink1</v>
      </c>
      <c r="AU517" s="20" t="str">
        <f>HYPERLINK("https://www.google.iq/maps/search/+36.5564,41.7657/@36.5564,41.7657,14z?hl=en","Maplink2")</f>
        <v>Maplink2</v>
      </c>
      <c r="AV517" s="20" t="str">
        <f>HYPERLINK("http://www.bing.com/maps/?lvl=14&amp;sty=h&amp;cp=36.5564~41.7657&amp;sp=point.36.5564_41.7657","Maplink3")</f>
        <v>Maplink3</v>
      </c>
    </row>
    <row r="518" spans="1:48" s="19" customFormat="1" x14ac:dyDescent="0.25">
      <c r="A518" s="9">
        <v>27285</v>
      </c>
      <c r="B518" s="10" t="s">
        <v>20</v>
      </c>
      <c r="C518" s="10" t="s">
        <v>1084</v>
      </c>
      <c r="D518" s="10" t="s">
        <v>1101</v>
      </c>
      <c r="E518" s="10" t="s">
        <v>1102</v>
      </c>
      <c r="F518" s="10">
        <v>36.487096229999999</v>
      </c>
      <c r="G518" s="10">
        <v>41.869738030000001</v>
      </c>
      <c r="H518" s="11">
        <v>993</v>
      </c>
      <c r="I518" s="11">
        <v>5958</v>
      </c>
      <c r="J518" s="11"/>
      <c r="K518" s="11"/>
      <c r="L518" s="11"/>
      <c r="M518" s="11"/>
      <c r="N518" s="11">
        <v>993</v>
      </c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>
        <v>993</v>
      </c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>
        <v>993</v>
      </c>
      <c r="AP518" s="11"/>
      <c r="AQ518" s="11"/>
      <c r="AR518" s="11"/>
      <c r="AS518" s="11"/>
      <c r="AT518" s="20" t="str">
        <f>HYPERLINK("http://www.openstreetmap.org/?mlat=36.4871&amp;mlon=41.8697&amp;zoom=12#map=12/36.4871/41.8697","Maplink1")</f>
        <v>Maplink1</v>
      </c>
      <c r="AU518" s="20" t="str">
        <f>HYPERLINK("https://www.google.iq/maps/search/+36.4871,41.8697/@36.4871,41.8697,14z?hl=en","Maplink2")</f>
        <v>Maplink2</v>
      </c>
      <c r="AV518" s="20" t="str">
        <f>HYPERLINK("http://www.bing.com/maps/?lvl=14&amp;sty=h&amp;cp=36.4871~41.8697&amp;sp=point.36.4871_41.8697","Maplink3")</f>
        <v>Maplink3</v>
      </c>
    </row>
    <row r="519" spans="1:48" s="19" customFormat="1" x14ac:dyDescent="0.25">
      <c r="A519" s="9">
        <v>27398</v>
      </c>
      <c r="B519" s="10" t="s">
        <v>20</v>
      </c>
      <c r="C519" s="10" t="s">
        <v>1084</v>
      </c>
      <c r="D519" s="10" t="s">
        <v>1103</v>
      </c>
      <c r="E519" s="10" t="s">
        <v>1104</v>
      </c>
      <c r="F519" s="10">
        <v>36.394999540000001</v>
      </c>
      <c r="G519" s="10">
        <v>41.856769030000002</v>
      </c>
      <c r="H519" s="11">
        <v>3</v>
      </c>
      <c r="I519" s="11">
        <v>18</v>
      </c>
      <c r="J519" s="11"/>
      <c r="K519" s="11"/>
      <c r="L519" s="11"/>
      <c r="M519" s="11"/>
      <c r="N519" s="11">
        <v>3</v>
      </c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>
        <v>3</v>
      </c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>
        <v>3</v>
      </c>
      <c r="AP519" s="11"/>
      <c r="AQ519" s="11"/>
      <c r="AR519" s="11"/>
      <c r="AS519" s="11"/>
      <c r="AT519" s="20" t="str">
        <f>HYPERLINK("http://www.openstreetmap.org/?mlat=36.395&amp;mlon=41.8568&amp;zoom=12#map=12/36.395/41.8568","Maplink1")</f>
        <v>Maplink1</v>
      </c>
      <c r="AU519" s="20" t="str">
        <f>HYPERLINK("https://www.google.iq/maps/search/+36.395,41.8568/@36.395,41.8568,14z?hl=en","Maplink2")</f>
        <v>Maplink2</v>
      </c>
      <c r="AV519" s="20" t="str">
        <f>HYPERLINK("http://www.bing.com/maps/?lvl=14&amp;sty=h&amp;cp=36.395~41.8568&amp;sp=point.36.395_41.8568","Maplink3")</f>
        <v>Maplink3</v>
      </c>
    </row>
    <row r="520" spans="1:48" s="19" customFormat="1" x14ac:dyDescent="0.25">
      <c r="A520" s="9">
        <v>28418</v>
      </c>
      <c r="B520" s="10" t="s">
        <v>20</v>
      </c>
      <c r="C520" s="10" t="s">
        <v>1084</v>
      </c>
      <c r="D520" s="10" t="s">
        <v>1105</v>
      </c>
      <c r="E520" s="10" t="s">
        <v>1106</v>
      </c>
      <c r="F520" s="10">
        <v>36.37538464</v>
      </c>
      <c r="G520" s="10">
        <v>41.766305989999999</v>
      </c>
      <c r="H520" s="11">
        <v>5</v>
      </c>
      <c r="I520" s="11">
        <v>30</v>
      </c>
      <c r="J520" s="11"/>
      <c r="K520" s="11"/>
      <c r="L520" s="11"/>
      <c r="M520" s="11"/>
      <c r="N520" s="11">
        <v>5</v>
      </c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>
        <v>5</v>
      </c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>
        <v>5</v>
      </c>
      <c r="AP520" s="11"/>
      <c r="AQ520" s="11"/>
      <c r="AR520" s="11"/>
      <c r="AS520" s="11"/>
      <c r="AT520" s="20" t="str">
        <f>HYPERLINK("http://www.openstreetmap.org/?mlat=36.3754&amp;mlon=41.7663&amp;zoom=12#map=12/36.3754/41.7663","Maplink1")</f>
        <v>Maplink1</v>
      </c>
      <c r="AU520" s="20" t="str">
        <f>HYPERLINK("https://www.google.iq/maps/search/+36.3754,41.7663/@36.3754,41.7663,14z?hl=en","Maplink2")</f>
        <v>Maplink2</v>
      </c>
      <c r="AV520" s="20" t="str">
        <f>HYPERLINK("http://www.bing.com/maps/?lvl=14&amp;sty=h&amp;cp=36.3754~41.7663&amp;sp=point.36.3754_41.7663","Maplink3")</f>
        <v>Maplink3</v>
      </c>
    </row>
    <row r="521" spans="1:48" s="19" customFormat="1" x14ac:dyDescent="0.25">
      <c r="A521" s="9">
        <v>27284</v>
      </c>
      <c r="B521" s="10" t="s">
        <v>20</v>
      </c>
      <c r="C521" s="10" t="s">
        <v>1084</v>
      </c>
      <c r="D521" s="10" t="s">
        <v>1107</v>
      </c>
      <c r="E521" s="10" t="s">
        <v>1108</v>
      </c>
      <c r="F521" s="10">
        <v>36.490920780000003</v>
      </c>
      <c r="G521" s="10">
        <v>41.80661594</v>
      </c>
      <c r="H521" s="11">
        <v>715</v>
      </c>
      <c r="I521" s="11">
        <v>4290</v>
      </c>
      <c r="J521" s="11"/>
      <c r="K521" s="11"/>
      <c r="L521" s="11"/>
      <c r="M521" s="11"/>
      <c r="N521" s="11">
        <v>715</v>
      </c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>
        <v>700</v>
      </c>
      <c r="AD521" s="11"/>
      <c r="AE521" s="11"/>
      <c r="AF521" s="11"/>
      <c r="AG521" s="11"/>
      <c r="AH521" s="11"/>
      <c r="AI521" s="11"/>
      <c r="AJ521" s="11"/>
      <c r="AK521" s="11">
        <v>15</v>
      </c>
      <c r="AL521" s="11"/>
      <c r="AM521" s="11"/>
      <c r="AN521" s="11"/>
      <c r="AO521" s="11">
        <v>715</v>
      </c>
      <c r="AP521" s="11"/>
      <c r="AQ521" s="11"/>
      <c r="AR521" s="11"/>
      <c r="AS521" s="11"/>
      <c r="AT521" s="20" t="str">
        <f>HYPERLINK("http://www.openstreetmap.org/?mlat=36.4909&amp;mlon=41.8066&amp;zoom=12#map=12/36.4909/41.8066","Maplink1")</f>
        <v>Maplink1</v>
      </c>
      <c r="AU521" s="20" t="str">
        <f>HYPERLINK("https://www.google.iq/maps/search/+36.4909,41.8066/@36.4909,41.8066,14z?hl=en","Maplink2")</f>
        <v>Maplink2</v>
      </c>
      <c r="AV521" s="20" t="str">
        <f>HYPERLINK("http://www.bing.com/maps/?lvl=14&amp;sty=h&amp;cp=36.4909~41.8066&amp;sp=point.36.4909_41.8066","Maplink3")</f>
        <v>Maplink3</v>
      </c>
    </row>
    <row r="522" spans="1:48" s="19" customFormat="1" x14ac:dyDescent="0.25">
      <c r="A522" s="9">
        <v>27283</v>
      </c>
      <c r="B522" s="10" t="s">
        <v>20</v>
      </c>
      <c r="C522" s="10" t="s">
        <v>1084</v>
      </c>
      <c r="D522" s="10" t="s">
        <v>1109</v>
      </c>
      <c r="E522" s="10" t="s">
        <v>1110</v>
      </c>
      <c r="F522" s="10">
        <v>36.461001510000003</v>
      </c>
      <c r="G522" s="10">
        <v>41.738542039999999</v>
      </c>
      <c r="H522" s="11">
        <v>281</v>
      </c>
      <c r="I522" s="11">
        <v>1686</v>
      </c>
      <c r="J522" s="11"/>
      <c r="K522" s="11"/>
      <c r="L522" s="11"/>
      <c r="M522" s="11"/>
      <c r="N522" s="11">
        <v>281</v>
      </c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>
        <v>281</v>
      </c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>
        <v>281</v>
      </c>
      <c r="AP522" s="11"/>
      <c r="AQ522" s="11"/>
      <c r="AR522" s="11"/>
      <c r="AS522" s="11"/>
      <c r="AT522" s="20" t="str">
        <f>HYPERLINK("http://www.openstreetmap.org/?mlat=36.461&amp;mlon=41.7385&amp;zoom=12#map=12/36.461/41.7385","Maplink1")</f>
        <v>Maplink1</v>
      </c>
      <c r="AU522" s="20" t="str">
        <f>HYPERLINK("https://www.google.iq/maps/search/+36.461,41.7385/@36.461,41.7385,14z?hl=en","Maplink2")</f>
        <v>Maplink2</v>
      </c>
      <c r="AV522" s="20" t="str">
        <f>HYPERLINK("http://www.bing.com/maps/?lvl=14&amp;sty=h&amp;cp=36.461~41.7385&amp;sp=point.36.461_41.7385","Maplink3")</f>
        <v>Maplink3</v>
      </c>
    </row>
    <row r="523" spans="1:48" s="19" customFormat="1" x14ac:dyDescent="0.25">
      <c r="A523" s="9">
        <v>28417</v>
      </c>
      <c r="B523" s="10" t="s">
        <v>20</v>
      </c>
      <c r="C523" s="10" t="s">
        <v>1084</v>
      </c>
      <c r="D523" s="10" t="s">
        <v>1111</v>
      </c>
      <c r="E523" s="10" t="s">
        <v>1112</v>
      </c>
      <c r="F523" s="10">
        <v>36.420558440000001</v>
      </c>
      <c r="G523" s="10">
        <v>42.070781199999999</v>
      </c>
      <c r="H523" s="11">
        <v>18</v>
      </c>
      <c r="I523" s="11">
        <v>108</v>
      </c>
      <c r="J523" s="11"/>
      <c r="K523" s="11"/>
      <c r="L523" s="11"/>
      <c r="M523" s="11"/>
      <c r="N523" s="11">
        <v>18</v>
      </c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>
        <v>18</v>
      </c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>
        <v>18</v>
      </c>
      <c r="AP523" s="11"/>
      <c r="AQ523" s="11"/>
      <c r="AR523" s="11"/>
      <c r="AS523" s="11"/>
      <c r="AT523" s="20" t="str">
        <f>HYPERLINK("http://www.openstreetmap.org/?mlat=36.4206&amp;mlon=42.0708&amp;zoom=12#map=12/36.4206/42.0708","Maplink1")</f>
        <v>Maplink1</v>
      </c>
      <c r="AU523" s="20" t="str">
        <f>HYPERLINK("https://www.google.iq/maps/search/+36.4206,42.0708/@36.4206,42.0708,14z?hl=en","Maplink2")</f>
        <v>Maplink2</v>
      </c>
      <c r="AV523" s="20" t="str">
        <f>HYPERLINK("http://www.bing.com/maps/?lvl=14&amp;sty=h&amp;cp=36.4206~42.0708&amp;sp=point.36.4206_42.0708","Maplink3")</f>
        <v>Maplink3</v>
      </c>
    </row>
    <row r="524" spans="1:48" s="19" customFormat="1" x14ac:dyDescent="0.25">
      <c r="A524" s="9">
        <v>28447</v>
      </c>
      <c r="B524" s="10" t="s">
        <v>20</v>
      </c>
      <c r="C524" s="10" t="s">
        <v>1084</v>
      </c>
      <c r="D524" s="10" t="s">
        <v>1113</v>
      </c>
      <c r="E524" s="10" t="s">
        <v>1114</v>
      </c>
      <c r="F524" s="10">
        <v>36.458525739999999</v>
      </c>
      <c r="G524" s="10">
        <v>41.862916370000001</v>
      </c>
      <c r="H524" s="11">
        <v>67</v>
      </c>
      <c r="I524" s="11">
        <v>402</v>
      </c>
      <c r="J524" s="11"/>
      <c r="K524" s="11"/>
      <c r="L524" s="11"/>
      <c r="M524" s="11"/>
      <c r="N524" s="11">
        <v>67</v>
      </c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>
        <v>67</v>
      </c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>
        <v>67</v>
      </c>
      <c r="AP524" s="11"/>
      <c r="AQ524" s="11"/>
      <c r="AR524" s="11"/>
      <c r="AS524" s="11"/>
      <c r="AT524" s="20" t="str">
        <f>HYPERLINK("http://www.openstreetmap.org/?mlat=36.4585&amp;mlon=41.8629&amp;zoom=12#map=12/36.4585/41.8629","Maplink1")</f>
        <v>Maplink1</v>
      </c>
      <c r="AU524" s="20" t="str">
        <f>HYPERLINK("https://www.google.iq/maps/search/+36.4585,41.8629/@36.4585,41.8629,14z?hl=en","Maplink2")</f>
        <v>Maplink2</v>
      </c>
      <c r="AV524" s="20" t="str">
        <f>HYPERLINK("http://www.bing.com/maps/?lvl=14&amp;sty=h&amp;cp=36.4585~41.8629&amp;sp=point.36.4585_41.8629","Maplink3")</f>
        <v>Maplink3</v>
      </c>
    </row>
    <row r="525" spans="1:48" s="19" customFormat="1" x14ac:dyDescent="0.25">
      <c r="A525" s="9">
        <v>18048</v>
      </c>
      <c r="B525" s="10" t="s">
        <v>20</v>
      </c>
      <c r="C525" s="10" t="s">
        <v>1084</v>
      </c>
      <c r="D525" s="10" t="s">
        <v>1115</v>
      </c>
      <c r="E525" s="10" t="s">
        <v>1116</v>
      </c>
      <c r="F525" s="10">
        <v>36.514294509999999</v>
      </c>
      <c r="G525" s="10">
        <v>41.96182108</v>
      </c>
      <c r="H525" s="11">
        <v>410</v>
      </c>
      <c r="I525" s="11">
        <v>2460</v>
      </c>
      <c r="J525" s="11"/>
      <c r="K525" s="11"/>
      <c r="L525" s="11"/>
      <c r="M525" s="11"/>
      <c r="N525" s="11">
        <v>390</v>
      </c>
      <c r="O525" s="11"/>
      <c r="P525" s="11"/>
      <c r="Q525" s="11"/>
      <c r="R525" s="11"/>
      <c r="S525" s="11"/>
      <c r="T525" s="11"/>
      <c r="U525" s="11"/>
      <c r="V525" s="11">
        <v>20</v>
      </c>
      <c r="W525" s="11"/>
      <c r="X525" s="11"/>
      <c r="Y525" s="11"/>
      <c r="Z525" s="11"/>
      <c r="AA525" s="11"/>
      <c r="AB525" s="11"/>
      <c r="AC525" s="11">
        <v>410</v>
      </c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>
        <v>410</v>
      </c>
      <c r="AP525" s="11"/>
      <c r="AQ525" s="11"/>
      <c r="AR525" s="11"/>
      <c r="AS525" s="11"/>
      <c r="AT525" s="20" t="str">
        <f>HYPERLINK("http://www.openstreetmap.org/?mlat=36.5143&amp;mlon=41.9618&amp;zoom=12#map=12/36.5143/41.9618","Maplink1")</f>
        <v>Maplink1</v>
      </c>
      <c r="AU525" s="20" t="str">
        <f>HYPERLINK("https://www.google.iq/maps/search/+36.5143,41.9618/@36.5143,41.9618,14z?hl=en","Maplink2")</f>
        <v>Maplink2</v>
      </c>
      <c r="AV525" s="20" t="str">
        <f>HYPERLINK("http://www.bing.com/maps/?lvl=14&amp;sty=h&amp;cp=36.5143~41.9618&amp;sp=point.36.5143_41.9618","Maplink3")</f>
        <v>Maplink3</v>
      </c>
    </row>
    <row r="526" spans="1:48" s="19" customFormat="1" x14ac:dyDescent="0.25">
      <c r="A526" s="9">
        <v>27401</v>
      </c>
      <c r="B526" s="10" t="s">
        <v>20</v>
      </c>
      <c r="C526" s="10" t="s">
        <v>1084</v>
      </c>
      <c r="D526" s="10" t="s">
        <v>1117</v>
      </c>
      <c r="E526" s="10" t="s">
        <v>1118</v>
      </c>
      <c r="F526" s="10">
        <v>36.434344850000002</v>
      </c>
      <c r="G526" s="10">
        <v>41.586858409999998</v>
      </c>
      <c r="H526" s="11">
        <v>41</v>
      </c>
      <c r="I526" s="11">
        <v>246</v>
      </c>
      <c r="J526" s="11"/>
      <c r="K526" s="11"/>
      <c r="L526" s="11"/>
      <c r="M526" s="11"/>
      <c r="N526" s="11">
        <v>41</v>
      </c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>
        <v>41</v>
      </c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>
        <v>41</v>
      </c>
      <c r="AP526" s="11"/>
      <c r="AQ526" s="11"/>
      <c r="AR526" s="11"/>
      <c r="AS526" s="11"/>
      <c r="AT526" s="20" t="str">
        <f>HYPERLINK("http://www.openstreetmap.org/?mlat=36.4343&amp;mlon=41.5869&amp;zoom=12#map=12/36.4343/41.5869","Maplink1")</f>
        <v>Maplink1</v>
      </c>
      <c r="AU526" s="20" t="str">
        <f>HYPERLINK("https://www.google.iq/maps/search/+36.4343,41.5869/@36.4343,41.5869,14z?hl=en","Maplink2")</f>
        <v>Maplink2</v>
      </c>
      <c r="AV526" s="20" t="str">
        <f>HYPERLINK("http://www.bing.com/maps/?lvl=14&amp;sty=h&amp;cp=36.4343~41.5869&amp;sp=point.36.4343_41.5869","Maplink3")</f>
        <v>Maplink3</v>
      </c>
    </row>
    <row r="527" spans="1:48" s="19" customFormat="1" x14ac:dyDescent="0.25">
      <c r="A527" s="9">
        <v>22490</v>
      </c>
      <c r="B527" s="10" t="s">
        <v>20</v>
      </c>
      <c r="C527" s="10" t="s">
        <v>1084</v>
      </c>
      <c r="D527" s="10" t="s">
        <v>1119</v>
      </c>
      <c r="E527" s="10" t="s">
        <v>1120</v>
      </c>
      <c r="F527" s="10">
        <v>36.320941619999999</v>
      </c>
      <c r="G527" s="10">
        <v>41.850862540000001</v>
      </c>
      <c r="H527" s="11">
        <v>85</v>
      </c>
      <c r="I527" s="11">
        <v>510</v>
      </c>
      <c r="J527" s="11"/>
      <c r="K527" s="11"/>
      <c r="L527" s="11"/>
      <c r="M527" s="11"/>
      <c r="N527" s="11">
        <v>85</v>
      </c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>
        <v>28</v>
      </c>
      <c r="AD527" s="11">
        <v>57</v>
      </c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>
        <v>85</v>
      </c>
      <c r="AP527" s="11"/>
      <c r="AQ527" s="11"/>
      <c r="AR527" s="11"/>
      <c r="AS527" s="11"/>
      <c r="AT527" s="20" t="str">
        <f>HYPERLINK("http://www.openstreetmap.org/?mlat=36.3209&amp;mlon=41.8509&amp;zoom=12#map=12/36.3209/41.8509","Maplink1")</f>
        <v>Maplink1</v>
      </c>
      <c r="AU527" s="20" t="str">
        <f>HYPERLINK("https://www.google.iq/maps/search/+36.3209,41.8509/@36.3209,41.8509,14z?hl=en","Maplink2")</f>
        <v>Maplink2</v>
      </c>
      <c r="AV527" s="20" t="str">
        <f>HYPERLINK("http://www.bing.com/maps/?lvl=14&amp;sty=h&amp;cp=36.3209~41.8509&amp;sp=point.36.3209_41.8509","Maplink3")</f>
        <v>Maplink3</v>
      </c>
    </row>
    <row r="528" spans="1:48" s="19" customFormat="1" x14ac:dyDescent="0.25">
      <c r="A528" s="9">
        <v>22487</v>
      </c>
      <c r="B528" s="10" t="s">
        <v>20</v>
      </c>
      <c r="C528" s="10" t="s">
        <v>1084</v>
      </c>
      <c r="D528" s="10" t="s">
        <v>1121</v>
      </c>
      <c r="E528" s="10" t="s">
        <v>1122</v>
      </c>
      <c r="F528" s="10">
        <v>36.31653</v>
      </c>
      <c r="G528" s="10">
        <v>41.855130000000003</v>
      </c>
      <c r="H528" s="11">
        <v>75</v>
      </c>
      <c r="I528" s="11">
        <v>450</v>
      </c>
      <c r="J528" s="11"/>
      <c r="K528" s="11"/>
      <c r="L528" s="11"/>
      <c r="M528" s="11"/>
      <c r="N528" s="11">
        <v>75</v>
      </c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>
        <v>54</v>
      </c>
      <c r="AD528" s="11">
        <v>21</v>
      </c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>
        <v>75</v>
      </c>
      <c r="AP528" s="11"/>
      <c r="AQ528" s="11"/>
      <c r="AR528" s="11"/>
      <c r="AS528" s="11"/>
      <c r="AT528" s="20" t="str">
        <f>HYPERLINK("http://www.openstreetmap.org/?mlat=36.3165&amp;mlon=41.8551&amp;zoom=12#map=12/36.3165/41.8551","Maplink1")</f>
        <v>Maplink1</v>
      </c>
      <c r="AU528" s="20" t="str">
        <f>HYPERLINK("https://www.google.iq/maps/search/+36.3165,41.8551/@36.3165,41.8551,14z?hl=en","Maplink2")</f>
        <v>Maplink2</v>
      </c>
      <c r="AV528" s="20" t="str">
        <f>HYPERLINK("http://www.bing.com/maps/?lvl=14&amp;sty=h&amp;cp=36.3165~41.8551&amp;sp=point.36.3165_41.8551","Maplink3")</f>
        <v>Maplink3</v>
      </c>
    </row>
    <row r="529" spans="1:48" s="19" customFormat="1" x14ac:dyDescent="0.25">
      <c r="A529" s="9">
        <v>22484</v>
      </c>
      <c r="B529" s="10" t="s">
        <v>20</v>
      </c>
      <c r="C529" s="10" t="s">
        <v>1084</v>
      </c>
      <c r="D529" s="10" t="s">
        <v>1123</v>
      </c>
      <c r="E529" s="10" t="s">
        <v>1124</v>
      </c>
      <c r="F529" s="10">
        <v>36.332979999999999</v>
      </c>
      <c r="G529" s="10">
        <v>41.8568</v>
      </c>
      <c r="H529" s="11">
        <v>72</v>
      </c>
      <c r="I529" s="11">
        <v>432</v>
      </c>
      <c r="J529" s="11"/>
      <c r="K529" s="11"/>
      <c r="L529" s="11"/>
      <c r="M529" s="11"/>
      <c r="N529" s="11">
        <v>61</v>
      </c>
      <c r="O529" s="11"/>
      <c r="P529" s="11"/>
      <c r="Q529" s="11"/>
      <c r="R529" s="11"/>
      <c r="S529" s="11"/>
      <c r="T529" s="11"/>
      <c r="U529" s="11"/>
      <c r="V529" s="11">
        <v>11</v>
      </c>
      <c r="W529" s="11"/>
      <c r="X529" s="11"/>
      <c r="Y529" s="11"/>
      <c r="Z529" s="11"/>
      <c r="AA529" s="11"/>
      <c r="AB529" s="11"/>
      <c r="AC529" s="11">
        <v>50</v>
      </c>
      <c r="AD529" s="11">
        <v>22</v>
      </c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>
        <v>72</v>
      </c>
      <c r="AP529" s="11"/>
      <c r="AQ529" s="11"/>
      <c r="AR529" s="11"/>
      <c r="AS529" s="11"/>
      <c r="AT529" s="20" t="str">
        <f>HYPERLINK("http://www.openstreetmap.org/?mlat=36.333&amp;mlon=41.8568&amp;zoom=12#map=12/36.333/41.8568","Maplink1")</f>
        <v>Maplink1</v>
      </c>
      <c r="AU529" s="20" t="str">
        <f>HYPERLINK("https://www.google.iq/maps/search/+36.333,41.8568/@36.333,41.8568,14z?hl=en","Maplink2")</f>
        <v>Maplink2</v>
      </c>
      <c r="AV529" s="20" t="str">
        <f>HYPERLINK("http://www.bing.com/maps/?lvl=14&amp;sty=h&amp;cp=36.333~41.8568&amp;sp=point.36.333_41.8568","Maplink3")</f>
        <v>Maplink3</v>
      </c>
    </row>
    <row r="530" spans="1:48" s="19" customFormat="1" x14ac:dyDescent="0.25">
      <c r="A530" s="9">
        <v>29676</v>
      </c>
      <c r="B530" s="10" t="s">
        <v>20</v>
      </c>
      <c r="C530" s="10" t="s">
        <v>1084</v>
      </c>
      <c r="D530" s="10" t="s">
        <v>1125</v>
      </c>
      <c r="E530" s="10" t="s">
        <v>1126</v>
      </c>
      <c r="F530" s="10">
        <v>36.321826956199999</v>
      </c>
      <c r="G530" s="10">
        <v>41.874680418399997</v>
      </c>
      <c r="H530" s="11">
        <v>95</v>
      </c>
      <c r="I530" s="11">
        <v>570</v>
      </c>
      <c r="J530" s="11"/>
      <c r="K530" s="11"/>
      <c r="L530" s="11"/>
      <c r="M530" s="11"/>
      <c r="N530" s="11">
        <v>85</v>
      </c>
      <c r="O530" s="11"/>
      <c r="P530" s="11"/>
      <c r="Q530" s="11"/>
      <c r="R530" s="11"/>
      <c r="S530" s="11"/>
      <c r="T530" s="11"/>
      <c r="U530" s="11"/>
      <c r="V530" s="11">
        <v>10</v>
      </c>
      <c r="W530" s="11"/>
      <c r="X530" s="11"/>
      <c r="Y530" s="11"/>
      <c r="Z530" s="11"/>
      <c r="AA530" s="11"/>
      <c r="AB530" s="11"/>
      <c r="AC530" s="11">
        <v>61</v>
      </c>
      <c r="AD530" s="11">
        <v>34</v>
      </c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>
        <v>95</v>
      </c>
      <c r="AP530" s="11"/>
      <c r="AQ530" s="11"/>
      <c r="AR530" s="11"/>
      <c r="AS530" s="11"/>
      <c r="AT530" s="20" t="str">
        <f>HYPERLINK("http://www.openstreetmap.org/?mlat=36.3218&amp;mlon=41.8747&amp;zoom=12#map=12/36.3218/41.8747","Maplink1")</f>
        <v>Maplink1</v>
      </c>
      <c r="AU530" s="20" t="str">
        <f>HYPERLINK("https://www.google.iq/maps/search/+36.3218,41.8747/@36.3218,41.8747,14z?hl=en","Maplink2")</f>
        <v>Maplink2</v>
      </c>
      <c r="AV530" s="20" t="str">
        <f>HYPERLINK("http://www.bing.com/maps/?lvl=14&amp;sty=h&amp;cp=36.3218~41.8747&amp;sp=point.36.3218_41.8747","Maplink3")</f>
        <v>Maplink3</v>
      </c>
    </row>
    <row r="531" spans="1:48" s="19" customFormat="1" x14ac:dyDescent="0.25">
      <c r="A531" s="9">
        <v>27288</v>
      </c>
      <c r="B531" s="10" t="s">
        <v>20</v>
      </c>
      <c r="C531" s="10" t="s">
        <v>1084</v>
      </c>
      <c r="D531" s="10" t="s">
        <v>1127</v>
      </c>
      <c r="E531" s="10" t="s">
        <v>1128</v>
      </c>
      <c r="F531" s="10">
        <v>36.376993800000001</v>
      </c>
      <c r="G531" s="10">
        <v>41.68756913</v>
      </c>
      <c r="H531" s="11">
        <v>122</v>
      </c>
      <c r="I531" s="11">
        <v>732</v>
      </c>
      <c r="J531" s="11"/>
      <c r="K531" s="11"/>
      <c r="L531" s="11"/>
      <c r="M531" s="11"/>
      <c r="N531" s="11">
        <v>122</v>
      </c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>
        <v>122</v>
      </c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>
        <v>122</v>
      </c>
      <c r="AP531" s="11"/>
      <c r="AQ531" s="11"/>
      <c r="AR531" s="11"/>
      <c r="AS531" s="11"/>
      <c r="AT531" s="20" t="str">
        <f>HYPERLINK("http://www.openstreetmap.org/?mlat=36.377&amp;mlon=41.6876&amp;zoom=12#map=12/36.377/41.6876","Maplink1")</f>
        <v>Maplink1</v>
      </c>
      <c r="AU531" s="20" t="str">
        <f>HYPERLINK("https://www.google.iq/maps/search/+36.377,41.6876/@36.377,41.6876,14z?hl=en","Maplink2")</f>
        <v>Maplink2</v>
      </c>
      <c r="AV531" s="20" t="str">
        <f>HYPERLINK("http://www.bing.com/maps/?lvl=14&amp;sty=h&amp;cp=36.377~41.6876&amp;sp=point.36.377_41.6876","Maplink3")</f>
        <v>Maplink3</v>
      </c>
    </row>
    <row r="532" spans="1:48" s="19" customFormat="1" x14ac:dyDescent="0.25">
      <c r="A532" s="9">
        <v>17845</v>
      </c>
      <c r="B532" s="10" t="s">
        <v>20</v>
      </c>
      <c r="C532" s="10" t="s">
        <v>1084</v>
      </c>
      <c r="D532" s="10" t="s">
        <v>1129</v>
      </c>
      <c r="E532" s="10" t="s">
        <v>1130</v>
      </c>
      <c r="F532" s="10">
        <v>36.46575215</v>
      </c>
      <c r="G532" s="10">
        <v>41.627610390000001</v>
      </c>
      <c r="H532" s="11">
        <v>65</v>
      </c>
      <c r="I532" s="11">
        <v>390</v>
      </c>
      <c r="J532" s="11"/>
      <c r="K532" s="11"/>
      <c r="L532" s="11"/>
      <c r="M532" s="11"/>
      <c r="N532" s="11">
        <v>55</v>
      </c>
      <c r="O532" s="11"/>
      <c r="P532" s="11"/>
      <c r="Q532" s="11"/>
      <c r="R532" s="11"/>
      <c r="S532" s="11"/>
      <c r="T532" s="11"/>
      <c r="U532" s="11"/>
      <c r="V532" s="11">
        <v>10</v>
      </c>
      <c r="W532" s="11"/>
      <c r="X532" s="11"/>
      <c r="Y532" s="11"/>
      <c r="Z532" s="11"/>
      <c r="AA532" s="11"/>
      <c r="AB532" s="11"/>
      <c r="AC532" s="11">
        <v>65</v>
      </c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>
        <v>65</v>
      </c>
      <c r="AP532" s="11"/>
      <c r="AQ532" s="11"/>
      <c r="AR532" s="11"/>
      <c r="AS532" s="11"/>
      <c r="AT532" s="20" t="str">
        <f>HYPERLINK("http://www.openstreetmap.org/?mlat=36.4658&amp;mlon=41.6276&amp;zoom=12#map=12/36.4658/41.6276","Maplink1")</f>
        <v>Maplink1</v>
      </c>
      <c r="AU532" s="20" t="str">
        <f>HYPERLINK("https://www.google.iq/maps/search/+36.4658,41.6276/@36.4658,41.6276,14z?hl=en","Maplink2")</f>
        <v>Maplink2</v>
      </c>
      <c r="AV532" s="20" t="str">
        <f>HYPERLINK("http://www.bing.com/maps/?lvl=14&amp;sty=h&amp;cp=36.4658~41.6276&amp;sp=point.36.4658_41.6276","Maplink3")</f>
        <v>Maplink3</v>
      </c>
    </row>
    <row r="533" spans="1:48" s="19" customFormat="1" x14ac:dyDescent="0.25">
      <c r="A533" s="9">
        <v>27358</v>
      </c>
      <c r="B533" s="10" t="s">
        <v>20</v>
      </c>
      <c r="C533" s="10" t="s">
        <v>1084</v>
      </c>
      <c r="D533" s="10" t="s">
        <v>1131</v>
      </c>
      <c r="E533" s="10" t="s">
        <v>1132</v>
      </c>
      <c r="F533" s="10">
        <v>36.36955837</v>
      </c>
      <c r="G533" s="10">
        <v>41.72378561</v>
      </c>
      <c r="H533" s="11">
        <v>119</v>
      </c>
      <c r="I533" s="11">
        <v>714</v>
      </c>
      <c r="J533" s="11"/>
      <c r="K533" s="11"/>
      <c r="L533" s="11"/>
      <c r="M533" s="11"/>
      <c r="N533" s="11">
        <v>119</v>
      </c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>
        <v>100</v>
      </c>
      <c r="AD533" s="11"/>
      <c r="AE533" s="11"/>
      <c r="AF533" s="11">
        <v>19</v>
      </c>
      <c r="AG533" s="11"/>
      <c r="AH533" s="11"/>
      <c r="AI533" s="11"/>
      <c r="AJ533" s="11"/>
      <c r="AK533" s="11"/>
      <c r="AL533" s="11"/>
      <c r="AM533" s="11"/>
      <c r="AN533" s="11"/>
      <c r="AO533" s="11">
        <v>119</v>
      </c>
      <c r="AP533" s="11"/>
      <c r="AQ533" s="11"/>
      <c r="AR533" s="11"/>
      <c r="AS533" s="11"/>
      <c r="AT533" s="20" t="str">
        <f>HYPERLINK("http://www.openstreetmap.org/?mlat=36.3696&amp;mlon=41.7238&amp;zoom=12#map=12/36.3696/41.7238","Maplink1")</f>
        <v>Maplink1</v>
      </c>
      <c r="AU533" s="20" t="str">
        <f>HYPERLINK("https://www.google.iq/maps/search/+36.3696,41.7238/@36.3696,41.7238,14z?hl=en","Maplink2")</f>
        <v>Maplink2</v>
      </c>
      <c r="AV533" s="20" t="str">
        <f>HYPERLINK("http://www.bing.com/maps/?lvl=14&amp;sty=h&amp;cp=36.3696~41.7238&amp;sp=point.36.3696_41.7238","Maplink3")</f>
        <v>Maplink3</v>
      </c>
    </row>
    <row r="534" spans="1:48" s="19" customFormat="1" x14ac:dyDescent="0.25">
      <c r="A534" s="9">
        <v>27364</v>
      </c>
      <c r="B534" s="10" t="s">
        <v>20</v>
      </c>
      <c r="C534" s="10" t="s">
        <v>1084</v>
      </c>
      <c r="D534" s="10" t="s">
        <v>1133</v>
      </c>
      <c r="E534" s="10" t="s">
        <v>1134</v>
      </c>
      <c r="F534" s="10">
        <v>36.377903250000003</v>
      </c>
      <c r="G534" s="10">
        <v>41.698554170000001</v>
      </c>
      <c r="H534" s="11">
        <v>30</v>
      </c>
      <c r="I534" s="11">
        <v>180</v>
      </c>
      <c r="J534" s="11"/>
      <c r="K534" s="11"/>
      <c r="L534" s="11"/>
      <c r="M534" s="11"/>
      <c r="N534" s="11">
        <v>30</v>
      </c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>
        <v>30</v>
      </c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>
        <v>30</v>
      </c>
      <c r="AP534" s="11"/>
      <c r="AQ534" s="11"/>
      <c r="AR534" s="11"/>
      <c r="AS534" s="11"/>
      <c r="AT534" s="20" t="str">
        <f>HYPERLINK("http://www.openstreetmap.org/?mlat=36.3779&amp;mlon=41.6986&amp;zoom=12#map=12/36.3779/41.6986","Maplink1")</f>
        <v>Maplink1</v>
      </c>
      <c r="AU534" s="20" t="str">
        <f>HYPERLINK("https://www.google.iq/maps/search/+36.3779,41.6986/@36.3779,41.6986,14z?hl=en","Maplink2")</f>
        <v>Maplink2</v>
      </c>
      <c r="AV534" s="20" t="str">
        <f>HYPERLINK("http://www.bing.com/maps/?lvl=14&amp;sty=h&amp;cp=36.3779~41.6986&amp;sp=point.36.3779_41.6986","Maplink3")</f>
        <v>Maplink3</v>
      </c>
    </row>
    <row r="535" spans="1:48" s="19" customFormat="1" x14ac:dyDescent="0.25">
      <c r="A535" s="9">
        <v>27397</v>
      </c>
      <c r="B535" s="10" t="s">
        <v>20</v>
      </c>
      <c r="C535" s="10" t="s">
        <v>1084</v>
      </c>
      <c r="D535" s="10" t="s">
        <v>1135</v>
      </c>
      <c r="E535" s="10" t="s">
        <v>1136</v>
      </c>
      <c r="F535" s="10">
        <v>36.416859670000001</v>
      </c>
      <c r="G535" s="10">
        <v>41.893854849999997</v>
      </c>
      <c r="H535" s="11">
        <v>44</v>
      </c>
      <c r="I535" s="11">
        <v>264</v>
      </c>
      <c r="J535" s="11"/>
      <c r="K535" s="11"/>
      <c r="L535" s="11"/>
      <c r="M535" s="11"/>
      <c r="N535" s="11">
        <v>44</v>
      </c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>
        <v>15</v>
      </c>
      <c r="AD535" s="11"/>
      <c r="AE535" s="11"/>
      <c r="AF535" s="11">
        <v>20</v>
      </c>
      <c r="AG535" s="11"/>
      <c r="AH535" s="11"/>
      <c r="AI535" s="11"/>
      <c r="AJ535" s="11"/>
      <c r="AK535" s="11">
        <v>9</v>
      </c>
      <c r="AL535" s="11"/>
      <c r="AM535" s="11"/>
      <c r="AN535" s="11"/>
      <c r="AO535" s="11">
        <v>44</v>
      </c>
      <c r="AP535" s="11"/>
      <c r="AQ535" s="11"/>
      <c r="AR535" s="11"/>
      <c r="AS535" s="11"/>
      <c r="AT535" s="20" t="str">
        <f>HYPERLINK("http://www.openstreetmap.org/?mlat=36.4169&amp;mlon=41.8939&amp;zoom=12#map=12/36.4169/41.8939","Maplink1")</f>
        <v>Maplink1</v>
      </c>
      <c r="AU535" s="20" t="str">
        <f>HYPERLINK("https://www.google.iq/maps/search/+36.4169,41.8939/@36.4169,41.8939,14z?hl=en","Maplink2")</f>
        <v>Maplink2</v>
      </c>
      <c r="AV535" s="20" t="str">
        <f>HYPERLINK("http://www.bing.com/maps/?lvl=14&amp;sty=h&amp;cp=36.4169~41.8939&amp;sp=point.36.4169_41.8939","Maplink3")</f>
        <v>Maplink3</v>
      </c>
    </row>
    <row r="536" spans="1:48" s="19" customFormat="1" x14ac:dyDescent="0.25">
      <c r="A536" s="9">
        <v>27363</v>
      </c>
      <c r="B536" s="10" t="s">
        <v>20</v>
      </c>
      <c r="C536" s="10" t="s">
        <v>1084</v>
      </c>
      <c r="D536" s="10" t="s">
        <v>1137</v>
      </c>
      <c r="E536" s="10" t="s">
        <v>1138</v>
      </c>
      <c r="F536" s="10">
        <v>36.417146760000001</v>
      </c>
      <c r="G536" s="10">
        <v>41.883773150000003</v>
      </c>
      <c r="H536" s="11">
        <v>54</v>
      </c>
      <c r="I536" s="11">
        <v>324</v>
      </c>
      <c r="J536" s="11"/>
      <c r="K536" s="11"/>
      <c r="L536" s="11"/>
      <c r="M536" s="11"/>
      <c r="N536" s="11">
        <v>50</v>
      </c>
      <c r="O536" s="11"/>
      <c r="P536" s="11"/>
      <c r="Q536" s="11"/>
      <c r="R536" s="11"/>
      <c r="S536" s="11"/>
      <c r="T536" s="11"/>
      <c r="U536" s="11"/>
      <c r="V536" s="11">
        <v>4</v>
      </c>
      <c r="W536" s="11"/>
      <c r="X536" s="11"/>
      <c r="Y536" s="11"/>
      <c r="Z536" s="11"/>
      <c r="AA536" s="11"/>
      <c r="AB536" s="11"/>
      <c r="AC536" s="11">
        <v>45</v>
      </c>
      <c r="AD536" s="11"/>
      <c r="AE536" s="11"/>
      <c r="AF536" s="11">
        <v>5</v>
      </c>
      <c r="AG536" s="11"/>
      <c r="AH536" s="11"/>
      <c r="AI536" s="11"/>
      <c r="AJ536" s="11"/>
      <c r="AK536" s="11">
        <v>4</v>
      </c>
      <c r="AL536" s="11"/>
      <c r="AM536" s="11"/>
      <c r="AN536" s="11"/>
      <c r="AO536" s="11">
        <v>54</v>
      </c>
      <c r="AP536" s="11"/>
      <c r="AQ536" s="11"/>
      <c r="AR536" s="11"/>
      <c r="AS536" s="11"/>
      <c r="AT536" s="20" t="str">
        <f>HYPERLINK("http://www.openstreetmap.org/?mlat=36.4171&amp;mlon=41.8838&amp;zoom=12#map=12/36.4171/41.8838","Maplink1")</f>
        <v>Maplink1</v>
      </c>
      <c r="AU536" s="20" t="str">
        <f>HYPERLINK("https://www.google.iq/maps/search/+36.4171,41.8838/@36.4171,41.8838,14z?hl=en","Maplink2")</f>
        <v>Maplink2</v>
      </c>
      <c r="AV536" s="20" t="str">
        <f>HYPERLINK("http://www.bing.com/maps/?lvl=14&amp;sty=h&amp;cp=36.4171~41.8838&amp;sp=point.36.4171_41.8838","Maplink3")</f>
        <v>Maplink3</v>
      </c>
    </row>
    <row r="537" spans="1:48" s="19" customFormat="1" x14ac:dyDescent="0.25">
      <c r="A537" s="9">
        <v>29603</v>
      </c>
      <c r="B537" s="10" t="s">
        <v>20</v>
      </c>
      <c r="C537" s="10" t="s">
        <v>1084</v>
      </c>
      <c r="D537" s="10" t="s">
        <v>1139</v>
      </c>
      <c r="E537" s="10" t="s">
        <v>1140</v>
      </c>
      <c r="F537" s="10">
        <v>36.337772883500001</v>
      </c>
      <c r="G537" s="10">
        <v>41.853129041400003</v>
      </c>
      <c r="H537" s="11">
        <v>85</v>
      </c>
      <c r="I537" s="11">
        <v>510</v>
      </c>
      <c r="J537" s="11"/>
      <c r="K537" s="11"/>
      <c r="L537" s="11"/>
      <c r="M537" s="11"/>
      <c r="N537" s="11">
        <v>85</v>
      </c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>
        <v>55</v>
      </c>
      <c r="AD537" s="11">
        <v>30</v>
      </c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>
        <v>85</v>
      </c>
      <c r="AP537" s="11"/>
      <c r="AQ537" s="11"/>
      <c r="AR537" s="11"/>
      <c r="AS537" s="11"/>
      <c r="AT537" s="20" t="str">
        <f>HYPERLINK("http://www.openstreetmap.org/?mlat=36.3378&amp;mlon=41.8531&amp;zoom=12#map=12/36.3378/41.8531","Maplink1")</f>
        <v>Maplink1</v>
      </c>
      <c r="AU537" s="20" t="str">
        <f>HYPERLINK("https://www.google.iq/maps/search/+36.3378,41.8531/@36.3378,41.8531,14z?hl=en","Maplink2")</f>
        <v>Maplink2</v>
      </c>
      <c r="AV537" s="20" t="str">
        <f>HYPERLINK("http://www.bing.com/maps/?lvl=14&amp;sty=h&amp;cp=36.3378~41.8531&amp;sp=point.36.3378_41.8531","Maplink3")</f>
        <v>Maplink3</v>
      </c>
    </row>
    <row r="538" spans="1:48" s="19" customFormat="1" x14ac:dyDescent="0.25">
      <c r="A538" s="9">
        <v>17694</v>
      </c>
      <c r="B538" s="10" t="s">
        <v>20</v>
      </c>
      <c r="C538" s="10" t="s">
        <v>1084</v>
      </c>
      <c r="D538" s="10" t="s">
        <v>1141</v>
      </c>
      <c r="E538" s="10" t="s">
        <v>1142</v>
      </c>
      <c r="F538" s="10">
        <v>36.440846270000002</v>
      </c>
      <c r="G538" s="10">
        <v>41.76676879</v>
      </c>
      <c r="H538" s="11">
        <v>33</v>
      </c>
      <c r="I538" s="11">
        <v>198</v>
      </c>
      <c r="J538" s="11"/>
      <c r="K538" s="11"/>
      <c r="L538" s="11"/>
      <c r="M538" s="11"/>
      <c r="N538" s="11">
        <v>26</v>
      </c>
      <c r="O538" s="11"/>
      <c r="P538" s="11"/>
      <c r="Q538" s="11"/>
      <c r="R538" s="11"/>
      <c r="S538" s="11"/>
      <c r="T538" s="11"/>
      <c r="U538" s="11"/>
      <c r="V538" s="11">
        <v>7</v>
      </c>
      <c r="W538" s="11"/>
      <c r="X538" s="11"/>
      <c r="Y538" s="11"/>
      <c r="Z538" s="11"/>
      <c r="AA538" s="11"/>
      <c r="AB538" s="11"/>
      <c r="AC538" s="11">
        <v>33</v>
      </c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>
        <v>33</v>
      </c>
      <c r="AP538" s="11"/>
      <c r="AQ538" s="11"/>
      <c r="AR538" s="11"/>
      <c r="AS538" s="11"/>
      <c r="AT538" s="20" t="str">
        <f>HYPERLINK("http://www.openstreetmap.org/?mlat=36.4408&amp;mlon=41.7668&amp;zoom=12#map=12/36.4408/41.7668","Maplink1")</f>
        <v>Maplink1</v>
      </c>
      <c r="AU538" s="20" t="str">
        <f>HYPERLINK("https://www.google.iq/maps/search/+36.4408,41.7668/@36.4408,41.7668,14z?hl=en","Maplink2")</f>
        <v>Maplink2</v>
      </c>
      <c r="AV538" s="20" t="str">
        <f>HYPERLINK("http://www.bing.com/maps/?lvl=14&amp;sty=h&amp;cp=36.4408~41.7668&amp;sp=point.36.4408_41.7668","Maplink3")</f>
        <v>Maplink3</v>
      </c>
    </row>
    <row r="539" spans="1:48" s="19" customFormat="1" x14ac:dyDescent="0.25">
      <c r="A539" s="9">
        <v>23667</v>
      </c>
      <c r="B539" s="10" t="s">
        <v>20</v>
      </c>
      <c r="C539" s="10" t="s">
        <v>1084</v>
      </c>
      <c r="D539" s="10" t="s">
        <v>1143</v>
      </c>
      <c r="E539" s="10" t="s">
        <v>1144</v>
      </c>
      <c r="F539" s="10">
        <v>36.316110000000002</v>
      </c>
      <c r="G539" s="10">
        <v>41.881909999999998</v>
      </c>
      <c r="H539" s="11">
        <v>47</v>
      </c>
      <c r="I539" s="11">
        <v>282</v>
      </c>
      <c r="J539" s="11"/>
      <c r="K539" s="11"/>
      <c r="L539" s="11"/>
      <c r="M539" s="11"/>
      <c r="N539" s="11">
        <v>40</v>
      </c>
      <c r="O539" s="11"/>
      <c r="P539" s="11"/>
      <c r="Q539" s="11"/>
      <c r="R539" s="11"/>
      <c r="S539" s="11"/>
      <c r="T539" s="11"/>
      <c r="U539" s="11"/>
      <c r="V539" s="11">
        <v>7</v>
      </c>
      <c r="W539" s="11"/>
      <c r="X539" s="11"/>
      <c r="Y539" s="11"/>
      <c r="Z539" s="11"/>
      <c r="AA539" s="11"/>
      <c r="AB539" s="11"/>
      <c r="AC539" s="11">
        <v>47</v>
      </c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>
        <v>47</v>
      </c>
      <c r="AP539" s="11"/>
      <c r="AQ539" s="11"/>
      <c r="AR539" s="11"/>
      <c r="AS539" s="11"/>
      <c r="AT539" s="20" t="str">
        <f>HYPERLINK("http://www.openstreetmap.org/?mlat=36.3161&amp;mlon=41.8819&amp;zoom=12#map=12/36.3161/41.8819","Maplink1")</f>
        <v>Maplink1</v>
      </c>
      <c r="AU539" s="20" t="str">
        <f>HYPERLINK("https://www.google.iq/maps/search/+36.3161,41.8819/@36.3161,41.8819,14z?hl=en","Maplink2")</f>
        <v>Maplink2</v>
      </c>
      <c r="AV539" s="20" t="str">
        <f>HYPERLINK("http://www.bing.com/maps/?lvl=14&amp;sty=h&amp;cp=36.3161~41.8819&amp;sp=point.36.3161_41.8819","Maplink3")</f>
        <v>Maplink3</v>
      </c>
    </row>
    <row r="540" spans="1:48" s="19" customFormat="1" x14ac:dyDescent="0.25">
      <c r="A540" s="9">
        <v>27362</v>
      </c>
      <c r="B540" s="10" t="s">
        <v>20</v>
      </c>
      <c r="C540" s="10" t="s">
        <v>1084</v>
      </c>
      <c r="D540" s="10" t="s">
        <v>1145</v>
      </c>
      <c r="E540" s="10" t="s">
        <v>1146</v>
      </c>
      <c r="F540" s="10">
        <v>36.374150378899998</v>
      </c>
      <c r="G540" s="10">
        <v>41.749377557599999</v>
      </c>
      <c r="H540" s="11">
        <v>11</v>
      </c>
      <c r="I540" s="11">
        <v>66</v>
      </c>
      <c r="J540" s="11"/>
      <c r="K540" s="11"/>
      <c r="L540" s="11"/>
      <c r="M540" s="11"/>
      <c r="N540" s="11">
        <v>11</v>
      </c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>
        <v>11</v>
      </c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>
        <v>11</v>
      </c>
      <c r="AP540" s="11"/>
      <c r="AQ540" s="11"/>
      <c r="AR540" s="11"/>
      <c r="AS540" s="11"/>
      <c r="AT540" s="20" t="str">
        <f>HYPERLINK("http://www.openstreetmap.org/?mlat=36.3742&amp;mlon=41.7494&amp;zoom=12#map=12/36.3742/41.7494","Maplink1")</f>
        <v>Maplink1</v>
      </c>
      <c r="AU540" s="20" t="str">
        <f>HYPERLINK("https://www.google.iq/maps/search/+36.3742,41.7494/@36.3742,41.7494,14z?hl=en","Maplink2")</f>
        <v>Maplink2</v>
      </c>
      <c r="AV540" s="20" t="str">
        <f>HYPERLINK("http://www.bing.com/maps/?lvl=14&amp;sty=h&amp;cp=36.3742~41.7494&amp;sp=point.36.3742_41.7494","Maplink3")</f>
        <v>Maplink3</v>
      </c>
    </row>
    <row r="541" spans="1:48" s="19" customFormat="1" x14ac:dyDescent="0.25">
      <c r="A541" s="9">
        <v>27359</v>
      </c>
      <c r="B541" s="10" t="s">
        <v>20</v>
      </c>
      <c r="C541" s="10" t="s">
        <v>1084</v>
      </c>
      <c r="D541" s="10" t="s">
        <v>1147</v>
      </c>
      <c r="E541" s="10" t="s">
        <v>1148</v>
      </c>
      <c r="F541" s="10">
        <v>36.372494570000001</v>
      </c>
      <c r="G541" s="10">
        <v>41.717848369999999</v>
      </c>
      <c r="H541" s="11">
        <v>44</v>
      </c>
      <c r="I541" s="11">
        <v>264</v>
      </c>
      <c r="J541" s="11"/>
      <c r="K541" s="11"/>
      <c r="L541" s="11"/>
      <c r="M541" s="11"/>
      <c r="N541" s="11">
        <v>44</v>
      </c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>
        <v>44</v>
      </c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>
        <v>44</v>
      </c>
      <c r="AP541" s="11"/>
      <c r="AQ541" s="11"/>
      <c r="AR541" s="11"/>
      <c r="AS541" s="11"/>
      <c r="AT541" s="20" t="str">
        <f>HYPERLINK("http://www.openstreetmap.org/?mlat=36.3725&amp;mlon=41.7178&amp;zoom=12#map=12/36.3725/41.7178","Maplink1")</f>
        <v>Maplink1</v>
      </c>
      <c r="AU541" s="20" t="str">
        <f>HYPERLINK("https://www.google.iq/maps/search/+36.3725,41.7178/@36.3725,41.7178,14z?hl=en","Maplink2")</f>
        <v>Maplink2</v>
      </c>
      <c r="AV541" s="20" t="str">
        <f>HYPERLINK("http://www.bing.com/maps/?lvl=14&amp;sty=h&amp;cp=36.3725~41.7178&amp;sp=point.36.3725_41.7178","Maplink3")</f>
        <v>Maplink3</v>
      </c>
    </row>
    <row r="542" spans="1:48" s="19" customFormat="1" x14ac:dyDescent="0.25">
      <c r="A542" s="9">
        <v>27399</v>
      </c>
      <c r="B542" s="10" t="s">
        <v>20</v>
      </c>
      <c r="C542" s="10" t="s">
        <v>1084</v>
      </c>
      <c r="D542" s="10" t="s">
        <v>1149</v>
      </c>
      <c r="E542" s="10" t="s">
        <v>1150</v>
      </c>
      <c r="F542" s="10">
        <v>36.429950669999997</v>
      </c>
      <c r="G542" s="10">
        <v>41.868081879999998</v>
      </c>
      <c r="H542" s="11">
        <v>160</v>
      </c>
      <c r="I542" s="11">
        <v>960</v>
      </c>
      <c r="J542" s="11"/>
      <c r="K542" s="11"/>
      <c r="L542" s="11"/>
      <c r="M542" s="11"/>
      <c r="N542" s="11">
        <v>160</v>
      </c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>
        <v>160</v>
      </c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>
        <v>160</v>
      </c>
      <c r="AP542" s="11"/>
      <c r="AQ542" s="11"/>
      <c r="AR542" s="11"/>
      <c r="AS542" s="11"/>
      <c r="AT542" s="20" t="str">
        <f>HYPERLINK("http://www.openstreetmap.org/?mlat=36.43&amp;mlon=41.8681&amp;zoom=12#map=12/36.43/41.8681","Maplink1")</f>
        <v>Maplink1</v>
      </c>
      <c r="AU542" s="20" t="str">
        <f>HYPERLINK("https://www.google.iq/maps/search/+36.43,41.8681/@36.43,41.8681,14z?hl=en","Maplink2")</f>
        <v>Maplink2</v>
      </c>
      <c r="AV542" s="20" t="str">
        <f>HYPERLINK("http://www.bing.com/maps/?lvl=14&amp;sty=h&amp;cp=36.43~41.8681&amp;sp=point.36.43_41.8681","Maplink3")</f>
        <v>Maplink3</v>
      </c>
    </row>
    <row r="543" spans="1:48" s="19" customFormat="1" x14ac:dyDescent="0.25">
      <c r="A543" s="9">
        <v>27400</v>
      </c>
      <c r="B543" s="10" t="s">
        <v>20</v>
      </c>
      <c r="C543" s="10" t="s">
        <v>1084</v>
      </c>
      <c r="D543" s="10" t="s">
        <v>1151</v>
      </c>
      <c r="E543" s="10" t="s">
        <v>1152</v>
      </c>
      <c r="F543" s="10">
        <v>36.379832100000002</v>
      </c>
      <c r="G543" s="10">
        <v>41.715568089999998</v>
      </c>
      <c r="H543" s="11">
        <v>25</v>
      </c>
      <c r="I543" s="11">
        <v>150</v>
      </c>
      <c r="J543" s="11"/>
      <c r="K543" s="11"/>
      <c r="L543" s="11"/>
      <c r="M543" s="11"/>
      <c r="N543" s="11">
        <v>25</v>
      </c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>
        <v>25</v>
      </c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>
        <v>25</v>
      </c>
      <c r="AP543" s="11"/>
      <c r="AQ543" s="11"/>
      <c r="AR543" s="11"/>
      <c r="AS543" s="11"/>
      <c r="AT543" s="20" t="str">
        <f>HYPERLINK("http://www.openstreetmap.org/?mlat=36.3798&amp;mlon=41.7156&amp;zoom=12#map=12/36.3798/41.7156","Maplink1")</f>
        <v>Maplink1</v>
      </c>
      <c r="AU543" s="20" t="str">
        <f>HYPERLINK("https://www.google.iq/maps/search/+36.3798,41.7156/@36.3798,41.7156,14z?hl=en","Maplink2")</f>
        <v>Maplink2</v>
      </c>
      <c r="AV543" s="20" t="str">
        <f>HYPERLINK("http://www.bing.com/maps/?lvl=14&amp;sty=h&amp;cp=36.3798~41.7156&amp;sp=point.36.3798_41.7156","Maplink3")</f>
        <v>Maplink3</v>
      </c>
    </row>
    <row r="544" spans="1:48" s="19" customFormat="1" x14ac:dyDescent="0.25">
      <c r="A544" s="9">
        <v>17928</v>
      </c>
      <c r="B544" s="10" t="s">
        <v>20</v>
      </c>
      <c r="C544" s="10" t="s">
        <v>1084</v>
      </c>
      <c r="D544" s="10" t="s">
        <v>1153</v>
      </c>
      <c r="E544" s="10" t="s">
        <v>1154</v>
      </c>
      <c r="F544" s="10">
        <v>36.466222760000001</v>
      </c>
      <c r="G544" s="10">
        <v>41.711691940000001</v>
      </c>
      <c r="H544" s="11">
        <v>600</v>
      </c>
      <c r="I544" s="11">
        <v>3600</v>
      </c>
      <c r="J544" s="11"/>
      <c r="K544" s="11"/>
      <c r="L544" s="11"/>
      <c r="M544" s="11"/>
      <c r="N544" s="11">
        <v>580</v>
      </c>
      <c r="O544" s="11"/>
      <c r="P544" s="11"/>
      <c r="Q544" s="11"/>
      <c r="R544" s="11"/>
      <c r="S544" s="11"/>
      <c r="T544" s="11"/>
      <c r="U544" s="11"/>
      <c r="V544" s="11">
        <v>20</v>
      </c>
      <c r="W544" s="11"/>
      <c r="X544" s="11"/>
      <c r="Y544" s="11"/>
      <c r="Z544" s="11"/>
      <c r="AA544" s="11"/>
      <c r="AB544" s="11"/>
      <c r="AC544" s="11">
        <v>600</v>
      </c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>
        <v>600</v>
      </c>
      <c r="AP544" s="11"/>
      <c r="AQ544" s="11"/>
      <c r="AR544" s="11"/>
      <c r="AS544" s="11"/>
      <c r="AT544" s="20" t="str">
        <f>HYPERLINK("http://www.openstreetmap.org/?mlat=36.4662&amp;mlon=41.7117&amp;zoom=12#map=12/36.4662/41.7117","Maplink1")</f>
        <v>Maplink1</v>
      </c>
      <c r="AU544" s="20" t="str">
        <f>HYPERLINK("https://www.google.iq/maps/search/+36.4662,41.7117/@36.4662,41.7117,14z?hl=en","Maplink2")</f>
        <v>Maplink2</v>
      </c>
      <c r="AV544" s="20" t="str">
        <f>HYPERLINK("http://www.bing.com/maps/?lvl=14&amp;sty=h&amp;cp=36.4662~41.7117&amp;sp=point.36.4662_41.7117","Maplink3")</f>
        <v>Maplink3</v>
      </c>
    </row>
    <row r="545" spans="1:48" s="19" customFormat="1" x14ac:dyDescent="0.25">
      <c r="A545" s="9">
        <v>31742</v>
      </c>
      <c r="B545" s="10" t="s">
        <v>20</v>
      </c>
      <c r="C545" s="10" t="s">
        <v>1084</v>
      </c>
      <c r="D545" s="10" t="s">
        <v>1155</v>
      </c>
      <c r="E545" s="10" t="s">
        <v>1156</v>
      </c>
      <c r="F545" s="10">
        <v>36.332430000000002</v>
      </c>
      <c r="G545" s="10">
        <v>41.89687</v>
      </c>
      <c r="H545" s="11">
        <v>75</v>
      </c>
      <c r="I545" s="11">
        <v>450</v>
      </c>
      <c r="J545" s="11"/>
      <c r="K545" s="11"/>
      <c r="L545" s="11"/>
      <c r="M545" s="11"/>
      <c r="N545" s="11">
        <v>55</v>
      </c>
      <c r="O545" s="11"/>
      <c r="P545" s="11"/>
      <c r="Q545" s="11"/>
      <c r="R545" s="11"/>
      <c r="S545" s="11"/>
      <c r="T545" s="11"/>
      <c r="U545" s="11"/>
      <c r="V545" s="11">
        <v>20</v>
      </c>
      <c r="W545" s="11"/>
      <c r="X545" s="11"/>
      <c r="Y545" s="11"/>
      <c r="Z545" s="11"/>
      <c r="AA545" s="11"/>
      <c r="AB545" s="11"/>
      <c r="AC545" s="11">
        <v>75</v>
      </c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>
        <v>75</v>
      </c>
      <c r="AP545" s="11"/>
      <c r="AQ545" s="11"/>
      <c r="AR545" s="11"/>
      <c r="AS545" s="11"/>
      <c r="AT545" s="20" t="str">
        <f>HYPERLINK("http://www.openstreetmap.org/?mlat=36.3324&amp;mlon=41.8969&amp;zoom=12#map=12/36.3324/41.8969","Maplink1")</f>
        <v>Maplink1</v>
      </c>
      <c r="AU545" s="20" t="str">
        <f>HYPERLINK("https://www.google.iq/maps/search/+36.3324,41.8969/@36.3324,41.8969,14z?hl=en","Maplink2")</f>
        <v>Maplink2</v>
      </c>
      <c r="AV545" s="20" t="str">
        <f>HYPERLINK("http://www.bing.com/maps/?lvl=14&amp;sty=h&amp;cp=36.3324~41.8969&amp;sp=point.36.3324_41.8969","Maplink3")</f>
        <v>Maplink3</v>
      </c>
    </row>
    <row r="546" spans="1:48" s="19" customFormat="1" x14ac:dyDescent="0.25">
      <c r="A546" s="9">
        <v>28448</v>
      </c>
      <c r="B546" s="10" t="s">
        <v>20</v>
      </c>
      <c r="C546" s="10" t="s">
        <v>1084</v>
      </c>
      <c r="D546" s="10" t="s">
        <v>1157</v>
      </c>
      <c r="E546" s="10" t="s">
        <v>1158</v>
      </c>
      <c r="F546" s="10">
        <v>36.42316417</v>
      </c>
      <c r="G546" s="10">
        <v>41.865733599999999</v>
      </c>
      <c r="H546" s="11">
        <v>43</v>
      </c>
      <c r="I546" s="11">
        <v>258</v>
      </c>
      <c r="J546" s="11"/>
      <c r="K546" s="11"/>
      <c r="L546" s="11"/>
      <c r="M546" s="11"/>
      <c r="N546" s="11">
        <v>43</v>
      </c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>
        <v>16</v>
      </c>
      <c r="AD546" s="11"/>
      <c r="AE546" s="11"/>
      <c r="AF546" s="11">
        <v>17</v>
      </c>
      <c r="AG546" s="11"/>
      <c r="AH546" s="11"/>
      <c r="AI546" s="11"/>
      <c r="AJ546" s="11"/>
      <c r="AK546" s="11">
        <v>10</v>
      </c>
      <c r="AL546" s="11"/>
      <c r="AM546" s="11"/>
      <c r="AN546" s="11"/>
      <c r="AO546" s="11">
        <v>43</v>
      </c>
      <c r="AP546" s="11"/>
      <c r="AQ546" s="11"/>
      <c r="AR546" s="11"/>
      <c r="AS546" s="11"/>
      <c r="AT546" s="20" t="str">
        <f>HYPERLINK("http://www.openstreetmap.org/?mlat=36.4232&amp;mlon=41.8657&amp;zoom=12#map=12/36.4232/41.8657","Maplink1")</f>
        <v>Maplink1</v>
      </c>
      <c r="AU546" s="20" t="str">
        <f>HYPERLINK("https://www.google.iq/maps/search/+36.4232,41.8657/@36.4232,41.8657,14z?hl=en","Maplink2")</f>
        <v>Maplink2</v>
      </c>
      <c r="AV546" s="20" t="str">
        <f>HYPERLINK("http://www.bing.com/maps/?lvl=14&amp;sty=h&amp;cp=36.4232~41.8657&amp;sp=point.36.4232_41.8657","Maplink3")</f>
        <v>Maplink3</v>
      </c>
    </row>
    <row r="547" spans="1:48" s="19" customFormat="1" x14ac:dyDescent="0.25">
      <c r="A547" s="9">
        <v>27361</v>
      </c>
      <c r="B547" s="10" t="s">
        <v>20</v>
      </c>
      <c r="C547" s="10" t="s">
        <v>1084</v>
      </c>
      <c r="D547" s="10" t="s">
        <v>1159</v>
      </c>
      <c r="E547" s="10" t="s">
        <v>1160</v>
      </c>
      <c r="F547" s="10">
        <v>36.375244917000003</v>
      </c>
      <c r="G547" s="10">
        <v>41.784992043199999</v>
      </c>
      <c r="H547" s="11">
        <v>1</v>
      </c>
      <c r="I547" s="11">
        <v>6</v>
      </c>
      <c r="J547" s="11"/>
      <c r="K547" s="11"/>
      <c r="L547" s="11"/>
      <c r="M547" s="11"/>
      <c r="N547" s="11">
        <v>1</v>
      </c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>
        <v>1</v>
      </c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>
        <v>1</v>
      </c>
      <c r="AP547" s="11"/>
      <c r="AQ547" s="11"/>
      <c r="AR547" s="11"/>
      <c r="AS547" s="11"/>
      <c r="AT547" s="20" t="str">
        <f>HYPERLINK("http://www.openstreetmap.org/?mlat=36.3752&amp;mlon=41.785&amp;zoom=12#map=12/36.3752/41.785","Maplink1")</f>
        <v>Maplink1</v>
      </c>
      <c r="AU547" s="20" t="str">
        <f>HYPERLINK("https://www.google.iq/maps/search/+36.3752,41.785/@36.3752,41.785,14z?hl=en","Maplink2")</f>
        <v>Maplink2</v>
      </c>
      <c r="AV547" s="20" t="str">
        <f>HYPERLINK("http://www.bing.com/maps/?lvl=14&amp;sty=h&amp;cp=36.3752~41.785&amp;sp=point.36.3752_41.785","Maplink3")</f>
        <v>Maplink3</v>
      </c>
    </row>
    <row r="548" spans="1:48" s="19" customFormat="1" x14ac:dyDescent="0.25">
      <c r="A548" s="9">
        <v>27287</v>
      </c>
      <c r="B548" s="10" t="s">
        <v>20</v>
      </c>
      <c r="C548" s="10" t="s">
        <v>1084</v>
      </c>
      <c r="D548" s="10" t="s">
        <v>1161</v>
      </c>
      <c r="E548" s="10" t="s">
        <v>1162</v>
      </c>
      <c r="F548" s="10">
        <v>36.471242240000002</v>
      </c>
      <c r="G548" s="10">
        <v>42.01619548</v>
      </c>
      <c r="H548" s="11">
        <v>503</v>
      </c>
      <c r="I548" s="11">
        <v>3018</v>
      </c>
      <c r="J548" s="11"/>
      <c r="K548" s="11"/>
      <c r="L548" s="11"/>
      <c r="M548" s="11"/>
      <c r="N548" s="11">
        <v>475</v>
      </c>
      <c r="O548" s="11"/>
      <c r="P548" s="11"/>
      <c r="Q548" s="11"/>
      <c r="R548" s="11"/>
      <c r="S548" s="11"/>
      <c r="T548" s="11"/>
      <c r="U548" s="11"/>
      <c r="V548" s="11">
        <v>28</v>
      </c>
      <c r="W548" s="11"/>
      <c r="X548" s="11"/>
      <c r="Y548" s="11"/>
      <c r="Z548" s="11"/>
      <c r="AA548" s="11"/>
      <c r="AB548" s="11"/>
      <c r="AC548" s="11">
        <v>503</v>
      </c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>
        <v>503</v>
      </c>
      <c r="AP548" s="11"/>
      <c r="AQ548" s="11"/>
      <c r="AR548" s="11"/>
      <c r="AS548" s="11"/>
      <c r="AT548" s="20" t="str">
        <f>HYPERLINK("http://www.openstreetmap.org/?mlat=36.4712&amp;mlon=42.0162&amp;zoom=12#map=12/36.4712/42.0162","Maplink1")</f>
        <v>Maplink1</v>
      </c>
      <c r="AU548" s="20" t="str">
        <f>HYPERLINK("https://www.google.iq/maps/search/+36.4712,42.0162/@36.4712,42.0162,14z?hl=en","Maplink2")</f>
        <v>Maplink2</v>
      </c>
      <c r="AV548" s="20" t="str">
        <f>HYPERLINK("http://www.bing.com/maps/?lvl=14&amp;sty=h&amp;cp=36.4712~42.0162&amp;sp=point.36.4712_42.0162","Maplink3")</f>
        <v>Maplink3</v>
      </c>
    </row>
    <row r="549" spans="1:48" s="19" customFormat="1" x14ac:dyDescent="0.25">
      <c r="A549" s="9">
        <v>17645</v>
      </c>
      <c r="B549" s="10" t="s">
        <v>20</v>
      </c>
      <c r="C549" s="10" t="s">
        <v>1163</v>
      </c>
      <c r="D549" s="10" t="s">
        <v>1164</v>
      </c>
      <c r="E549" s="10" t="s">
        <v>1165</v>
      </c>
      <c r="F549" s="10">
        <v>36.519699000000003</v>
      </c>
      <c r="G549" s="10">
        <v>42.085087999999999</v>
      </c>
      <c r="H549" s="11">
        <v>100</v>
      </c>
      <c r="I549" s="11">
        <v>600</v>
      </c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>
        <v>100</v>
      </c>
      <c r="W549" s="11"/>
      <c r="X549" s="11"/>
      <c r="Y549" s="11"/>
      <c r="Z549" s="11"/>
      <c r="AA549" s="11"/>
      <c r="AB549" s="11"/>
      <c r="AC549" s="11">
        <v>100</v>
      </c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>
        <v>97</v>
      </c>
      <c r="AP549" s="11"/>
      <c r="AQ549" s="11"/>
      <c r="AR549" s="11">
        <v>3</v>
      </c>
      <c r="AS549" s="11"/>
      <c r="AT549" s="20" t="str">
        <f>HYPERLINK("http://www.openstreetmap.org/?mlat=36.5197&amp;mlon=42.0851&amp;zoom=12#map=12/36.5197/42.0851","Maplink1")</f>
        <v>Maplink1</v>
      </c>
      <c r="AU549" s="20" t="str">
        <f>HYPERLINK("https://www.google.iq/maps/search/+36.5197,42.0851/@36.5197,42.0851,14z?hl=en","Maplink2")</f>
        <v>Maplink2</v>
      </c>
      <c r="AV549" s="20" t="str">
        <f>HYPERLINK("http://www.bing.com/maps/?lvl=14&amp;sty=h&amp;cp=36.5197~42.0851&amp;sp=point.36.5197_42.0851","Maplink3")</f>
        <v>Maplink3</v>
      </c>
    </row>
    <row r="550" spans="1:48" s="19" customFormat="1" x14ac:dyDescent="0.25">
      <c r="A550" s="9">
        <v>17657</v>
      </c>
      <c r="B550" s="10" t="s">
        <v>20</v>
      </c>
      <c r="C550" s="10" t="s">
        <v>1163</v>
      </c>
      <c r="D550" s="10" t="s">
        <v>1166</v>
      </c>
      <c r="E550" s="10" t="s">
        <v>1167</v>
      </c>
      <c r="F550" s="10">
        <v>36.764801050000003</v>
      </c>
      <c r="G550" s="10">
        <v>42.208764960000003</v>
      </c>
      <c r="H550" s="11">
        <v>210</v>
      </c>
      <c r="I550" s="11">
        <v>1260</v>
      </c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>
        <v>210</v>
      </c>
      <c r="W550" s="11"/>
      <c r="X550" s="11"/>
      <c r="Y550" s="11"/>
      <c r="Z550" s="11"/>
      <c r="AA550" s="11"/>
      <c r="AB550" s="11"/>
      <c r="AC550" s="11">
        <v>210</v>
      </c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>
        <v>210</v>
      </c>
      <c r="AP550" s="11"/>
      <c r="AQ550" s="11"/>
      <c r="AR550" s="11"/>
      <c r="AS550" s="11"/>
      <c r="AT550" s="20" t="str">
        <f>HYPERLINK("http://www.openstreetmap.org/?mlat=36.7648&amp;mlon=42.2088&amp;zoom=12#map=12/36.7648/42.2088","Maplink1")</f>
        <v>Maplink1</v>
      </c>
      <c r="AU550" s="20" t="str">
        <f>HYPERLINK("https://www.google.iq/maps/search/+36.7648,42.2088/@36.7648,42.2088,14z?hl=en","Maplink2")</f>
        <v>Maplink2</v>
      </c>
      <c r="AV550" s="20" t="str">
        <f>HYPERLINK("http://www.bing.com/maps/?lvl=14&amp;sty=h&amp;cp=36.7648~42.2088&amp;sp=point.36.7648_42.2088","Maplink3")</f>
        <v>Maplink3</v>
      </c>
    </row>
    <row r="551" spans="1:48" s="19" customFormat="1" x14ac:dyDescent="0.25">
      <c r="A551" s="9">
        <v>18262</v>
      </c>
      <c r="B551" s="10" t="s">
        <v>20</v>
      </c>
      <c r="C551" s="10" t="s">
        <v>1163</v>
      </c>
      <c r="D551" s="10" t="s">
        <v>1168</v>
      </c>
      <c r="E551" s="10" t="s">
        <v>1169</v>
      </c>
      <c r="F551" s="10">
        <v>36.739933999999998</v>
      </c>
      <c r="G551" s="10">
        <v>42.124847000000003</v>
      </c>
      <c r="H551" s="11">
        <v>332</v>
      </c>
      <c r="I551" s="11">
        <v>1992</v>
      </c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>
        <v>332</v>
      </c>
      <c r="W551" s="11"/>
      <c r="X551" s="11"/>
      <c r="Y551" s="11"/>
      <c r="Z551" s="11"/>
      <c r="AA551" s="11"/>
      <c r="AB551" s="11"/>
      <c r="AC551" s="11">
        <v>332</v>
      </c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>
        <v>332</v>
      </c>
      <c r="AP551" s="11"/>
      <c r="AQ551" s="11"/>
      <c r="AR551" s="11"/>
      <c r="AS551" s="11"/>
      <c r="AT551" s="20" t="str">
        <f>HYPERLINK("http://www.openstreetmap.org/?mlat=36.7399&amp;mlon=42.1248&amp;zoom=12#map=12/36.7399/42.1248","Maplink1")</f>
        <v>Maplink1</v>
      </c>
      <c r="AU551" s="20" t="str">
        <f>HYPERLINK("https://www.google.iq/maps/search/+36.7399,42.1248/@36.7399,42.1248,14z?hl=en","Maplink2")</f>
        <v>Maplink2</v>
      </c>
      <c r="AV551" s="20" t="str">
        <f>HYPERLINK("http://www.bing.com/maps/?lvl=14&amp;sty=h&amp;cp=36.7399~42.1248&amp;sp=point.36.7399_42.1248","Maplink3")</f>
        <v>Maplink3</v>
      </c>
    </row>
    <row r="552" spans="1:48" s="19" customFormat="1" x14ac:dyDescent="0.25">
      <c r="A552" s="9">
        <v>27354</v>
      </c>
      <c r="B552" s="10" t="s">
        <v>20</v>
      </c>
      <c r="C552" s="10" t="s">
        <v>1163</v>
      </c>
      <c r="D552" s="10" t="s">
        <v>1170</v>
      </c>
      <c r="E552" s="10" t="s">
        <v>1171</v>
      </c>
      <c r="F552" s="10">
        <v>36.844505740000002</v>
      </c>
      <c r="G552" s="10">
        <v>42.382485549999998</v>
      </c>
      <c r="H552" s="11">
        <v>117</v>
      </c>
      <c r="I552" s="11">
        <v>702</v>
      </c>
      <c r="J552" s="11"/>
      <c r="K552" s="11"/>
      <c r="L552" s="11"/>
      <c r="M552" s="11"/>
      <c r="N552" s="11">
        <v>117</v>
      </c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>
        <v>117</v>
      </c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>
        <v>117</v>
      </c>
      <c r="AP552" s="11"/>
      <c r="AQ552" s="11"/>
      <c r="AR552" s="11"/>
      <c r="AS552" s="11"/>
      <c r="AT552" s="20" t="str">
        <f>HYPERLINK("http://www.openstreetmap.org/?mlat=36.8445&amp;mlon=42.3825&amp;zoom=12#map=12/36.8445/42.3825","Maplink1")</f>
        <v>Maplink1</v>
      </c>
      <c r="AU552" s="20" t="str">
        <f>HYPERLINK("https://www.google.iq/maps/search/+36.8445,42.3825/@36.8445,42.3825,14z?hl=en","Maplink2")</f>
        <v>Maplink2</v>
      </c>
      <c r="AV552" s="20" t="str">
        <f>HYPERLINK("http://www.bing.com/maps/?lvl=14&amp;sty=h&amp;cp=36.8445~42.3825&amp;sp=point.36.8445_42.3825","Maplink3")</f>
        <v>Maplink3</v>
      </c>
    </row>
    <row r="553" spans="1:48" s="19" customFormat="1" x14ac:dyDescent="0.25">
      <c r="A553" s="9">
        <v>17746</v>
      </c>
      <c r="B553" s="10" t="s">
        <v>20</v>
      </c>
      <c r="C553" s="10" t="s">
        <v>1163</v>
      </c>
      <c r="D553" s="10" t="s">
        <v>1172</v>
      </c>
      <c r="E553" s="10" t="s">
        <v>1173</v>
      </c>
      <c r="F553" s="10">
        <v>36.605374259999998</v>
      </c>
      <c r="G553" s="10">
        <v>42.623551249999998</v>
      </c>
      <c r="H553" s="11">
        <v>275</v>
      </c>
      <c r="I553" s="11">
        <v>1650</v>
      </c>
      <c r="J553" s="11"/>
      <c r="K553" s="11"/>
      <c r="L553" s="11"/>
      <c r="M553" s="11"/>
      <c r="N553" s="11">
        <v>250</v>
      </c>
      <c r="O553" s="11"/>
      <c r="P553" s="11">
        <v>15</v>
      </c>
      <c r="Q553" s="11"/>
      <c r="R553" s="11"/>
      <c r="S553" s="11"/>
      <c r="T553" s="11"/>
      <c r="U553" s="11"/>
      <c r="V553" s="11"/>
      <c r="W553" s="11"/>
      <c r="X553" s="11"/>
      <c r="Y553" s="11">
        <v>10</v>
      </c>
      <c r="Z553" s="11"/>
      <c r="AA553" s="11"/>
      <c r="AB553" s="11"/>
      <c r="AC553" s="11">
        <v>262</v>
      </c>
      <c r="AD553" s="11">
        <v>13</v>
      </c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>
        <v>275</v>
      </c>
      <c r="AP553" s="11"/>
      <c r="AQ553" s="11"/>
      <c r="AR553" s="11"/>
      <c r="AS553" s="11"/>
      <c r="AT553" s="20" t="str">
        <f>HYPERLINK("http://www.openstreetmap.org/?mlat=36.6054&amp;mlon=42.6236&amp;zoom=12#map=12/36.6054/42.6236","Maplink1")</f>
        <v>Maplink1</v>
      </c>
      <c r="AU553" s="20" t="str">
        <f>HYPERLINK("https://www.google.iq/maps/search/+36.6054,42.6236/@36.6054,42.6236,14z?hl=en","Maplink2")</f>
        <v>Maplink2</v>
      </c>
      <c r="AV553" s="20" t="str">
        <f>HYPERLINK("http://www.bing.com/maps/?lvl=14&amp;sty=h&amp;cp=36.6054~42.6236&amp;sp=point.36.6054_42.6236","Maplink3")</f>
        <v>Maplink3</v>
      </c>
    </row>
    <row r="554" spans="1:48" s="19" customFormat="1" x14ac:dyDescent="0.25">
      <c r="A554" s="9">
        <v>22446</v>
      </c>
      <c r="B554" s="10" t="s">
        <v>20</v>
      </c>
      <c r="C554" s="10" t="s">
        <v>1163</v>
      </c>
      <c r="D554" s="10" t="s">
        <v>1174</v>
      </c>
      <c r="E554" s="10" t="s">
        <v>1175</v>
      </c>
      <c r="F554" s="10">
        <v>36.609344219999997</v>
      </c>
      <c r="G554" s="10">
        <v>42.568694710000003</v>
      </c>
      <c r="H554" s="11">
        <v>400</v>
      </c>
      <c r="I554" s="11">
        <v>2400</v>
      </c>
      <c r="J554" s="11"/>
      <c r="K554" s="11"/>
      <c r="L554" s="11"/>
      <c r="M554" s="11"/>
      <c r="N554" s="11">
        <v>400</v>
      </c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>
        <v>385</v>
      </c>
      <c r="AD554" s="11">
        <v>15</v>
      </c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>
        <v>400</v>
      </c>
      <c r="AP554" s="11"/>
      <c r="AQ554" s="11"/>
      <c r="AR554" s="11"/>
      <c r="AS554" s="11"/>
      <c r="AT554" s="20" t="str">
        <f>HYPERLINK("http://www.openstreetmap.org/?mlat=36.6093&amp;mlon=42.5687&amp;zoom=12#map=12/36.6093/42.5687","Maplink1")</f>
        <v>Maplink1</v>
      </c>
      <c r="AU554" s="20" t="str">
        <f>HYPERLINK("https://www.google.iq/maps/search/+36.6093,42.5687/@36.6093,42.5687,14z?hl=en","Maplink2")</f>
        <v>Maplink2</v>
      </c>
      <c r="AV554" s="20" t="str">
        <f>HYPERLINK("http://www.bing.com/maps/?lvl=14&amp;sty=h&amp;cp=36.6093~42.5687&amp;sp=point.36.6093_42.5687","Maplink3")</f>
        <v>Maplink3</v>
      </c>
    </row>
    <row r="555" spans="1:48" s="19" customFormat="1" x14ac:dyDescent="0.25">
      <c r="A555" s="9">
        <v>28453</v>
      </c>
      <c r="B555" s="10" t="s">
        <v>20</v>
      </c>
      <c r="C555" s="10" t="s">
        <v>1163</v>
      </c>
      <c r="D555" s="10" t="s">
        <v>1176</v>
      </c>
      <c r="E555" s="10" t="s">
        <v>1177</v>
      </c>
      <c r="F555" s="10">
        <v>36.728188889999998</v>
      </c>
      <c r="G555" s="10">
        <v>42.258451800000003</v>
      </c>
      <c r="H555" s="11">
        <v>200</v>
      </c>
      <c r="I555" s="11">
        <v>1200</v>
      </c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>
        <v>200</v>
      </c>
      <c r="W555" s="11"/>
      <c r="X555" s="11"/>
      <c r="Y555" s="11"/>
      <c r="Z555" s="11"/>
      <c r="AA555" s="11"/>
      <c r="AB555" s="11"/>
      <c r="AC555" s="11">
        <v>200</v>
      </c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>
        <v>200</v>
      </c>
      <c r="AQ555" s="11"/>
      <c r="AR555" s="11"/>
      <c r="AS555" s="11"/>
      <c r="AT555" s="20" t="str">
        <f>HYPERLINK("http://www.openstreetmap.org/?mlat=36.7282&amp;mlon=42.2585&amp;zoom=12#map=12/36.7282/42.2585","Maplink1")</f>
        <v>Maplink1</v>
      </c>
      <c r="AU555" s="20" t="str">
        <f>HYPERLINK("https://www.google.iq/maps/search/+36.7282,42.2585/@36.7282,42.2585,14z?hl=en","Maplink2")</f>
        <v>Maplink2</v>
      </c>
      <c r="AV555" s="20" t="str">
        <f>HYPERLINK("http://www.bing.com/maps/?lvl=14&amp;sty=h&amp;cp=36.7282~42.2585&amp;sp=point.36.7282_42.2585","Maplink3")</f>
        <v>Maplink3</v>
      </c>
    </row>
    <row r="556" spans="1:48" s="19" customFormat="1" x14ac:dyDescent="0.25">
      <c r="A556" s="9">
        <v>17762</v>
      </c>
      <c r="B556" s="10" t="s">
        <v>20</v>
      </c>
      <c r="C556" s="10" t="s">
        <v>1163</v>
      </c>
      <c r="D556" s="10" t="s">
        <v>1178</v>
      </c>
      <c r="E556" s="10" t="s">
        <v>1179</v>
      </c>
      <c r="F556" s="10">
        <v>36.799222829999998</v>
      </c>
      <c r="G556" s="10">
        <v>42.470374589999999</v>
      </c>
      <c r="H556" s="11">
        <v>600</v>
      </c>
      <c r="I556" s="11">
        <v>3600</v>
      </c>
      <c r="J556" s="11"/>
      <c r="K556" s="11"/>
      <c r="L556" s="11"/>
      <c r="M556" s="11"/>
      <c r="N556" s="11">
        <v>600</v>
      </c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>
        <v>600</v>
      </c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>
        <v>600</v>
      </c>
      <c r="AP556" s="11"/>
      <c r="AQ556" s="11"/>
      <c r="AR556" s="11"/>
      <c r="AS556" s="11"/>
      <c r="AT556" s="20" t="str">
        <f>HYPERLINK("http://www.openstreetmap.org/?mlat=36.7992&amp;mlon=42.4704&amp;zoom=12#map=12/36.7992/42.4704","Maplink1")</f>
        <v>Maplink1</v>
      </c>
      <c r="AU556" s="20" t="str">
        <f>HYPERLINK("https://www.google.iq/maps/search/+36.7992,42.4704/@36.7992,42.4704,14z?hl=en","Maplink2")</f>
        <v>Maplink2</v>
      </c>
      <c r="AV556" s="20" t="str">
        <f>HYPERLINK("http://www.bing.com/maps/?lvl=14&amp;sty=h&amp;cp=36.7992~42.4704&amp;sp=point.36.7992_42.4704","Maplink3")</f>
        <v>Maplink3</v>
      </c>
    </row>
    <row r="557" spans="1:48" s="19" customFormat="1" x14ac:dyDescent="0.25">
      <c r="A557" s="9">
        <v>28440</v>
      </c>
      <c r="B557" s="10" t="s">
        <v>20</v>
      </c>
      <c r="C557" s="10" t="s">
        <v>1163</v>
      </c>
      <c r="D557" s="10" t="s">
        <v>1180</v>
      </c>
      <c r="E557" s="10" t="s">
        <v>1181</v>
      </c>
      <c r="F557" s="10">
        <v>36.793997050000002</v>
      </c>
      <c r="G557" s="10">
        <v>42.214455559999998</v>
      </c>
      <c r="H557" s="11">
        <v>78</v>
      </c>
      <c r="I557" s="11">
        <v>468</v>
      </c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>
        <v>78</v>
      </c>
      <c r="W557" s="11"/>
      <c r="X557" s="11"/>
      <c r="Y557" s="11"/>
      <c r="Z557" s="11"/>
      <c r="AA557" s="11"/>
      <c r="AB557" s="11"/>
      <c r="AC557" s="11">
        <v>78</v>
      </c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>
        <v>77</v>
      </c>
      <c r="AQ557" s="11"/>
      <c r="AR557" s="11">
        <v>1</v>
      </c>
      <c r="AS557" s="11"/>
      <c r="AT557" s="20" t="str">
        <f>HYPERLINK("http://www.openstreetmap.org/?mlat=36.794&amp;mlon=42.2145&amp;zoom=12#map=12/36.794/42.2145","Maplink1")</f>
        <v>Maplink1</v>
      </c>
      <c r="AU557" s="20" t="str">
        <f>HYPERLINK("https://www.google.iq/maps/search/+36.794,42.2145/@36.794,42.2145,14z?hl=en","Maplink2")</f>
        <v>Maplink2</v>
      </c>
      <c r="AV557" s="20" t="str">
        <f>HYPERLINK("http://www.bing.com/maps/?lvl=14&amp;sty=h&amp;cp=36.794~42.2145&amp;sp=point.36.794_42.2145","Maplink3")</f>
        <v>Maplink3</v>
      </c>
    </row>
    <row r="558" spans="1:48" s="19" customFormat="1" x14ac:dyDescent="0.25">
      <c r="A558" s="9">
        <v>25809</v>
      </c>
      <c r="B558" s="10" t="s">
        <v>20</v>
      </c>
      <c r="C558" s="10" t="s">
        <v>1163</v>
      </c>
      <c r="D558" s="10" t="s">
        <v>1182</v>
      </c>
      <c r="E558" s="10" t="s">
        <v>1183</v>
      </c>
      <c r="F558" s="10">
        <v>36.70944532</v>
      </c>
      <c r="G558" s="10">
        <v>42.618708040000001</v>
      </c>
      <c r="H558" s="11">
        <v>390</v>
      </c>
      <c r="I558" s="11">
        <v>2340</v>
      </c>
      <c r="J558" s="11"/>
      <c r="K558" s="11"/>
      <c r="L558" s="11"/>
      <c r="M558" s="11"/>
      <c r="N558" s="11">
        <v>300</v>
      </c>
      <c r="O558" s="11"/>
      <c r="P558" s="11"/>
      <c r="Q558" s="11"/>
      <c r="R558" s="11"/>
      <c r="S558" s="11"/>
      <c r="T558" s="11"/>
      <c r="U558" s="11"/>
      <c r="V558" s="11">
        <v>90</v>
      </c>
      <c r="W558" s="11"/>
      <c r="X558" s="11"/>
      <c r="Y558" s="11"/>
      <c r="Z558" s="11"/>
      <c r="AA558" s="11"/>
      <c r="AB558" s="11"/>
      <c r="AC558" s="11">
        <v>389</v>
      </c>
      <c r="AD558" s="11"/>
      <c r="AE558" s="11"/>
      <c r="AF558" s="11"/>
      <c r="AG558" s="11"/>
      <c r="AH558" s="11"/>
      <c r="AI558" s="11">
        <v>1</v>
      </c>
      <c r="AJ558" s="11"/>
      <c r="AK558" s="11"/>
      <c r="AL558" s="11"/>
      <c r="AM558" s="11"/>
      <c r="AN558" s="11"/>
      <c r="AO558" s="11">
        <v>390</v>
      </c>
      <c r="AP558" s="11"/>
      <c r="AQ558" s="11"/>
      <c r="AR558" s="11"/>
      <c r="AS558" s="11"/>
      <c r="AT558" s="20" t="str">
        <f>HYPERLINK("http://www.openstreetmap.org/?mlat=36.7094&amp;mlon=42.6187&amp;zoom=12#map=12/36.7094/42.6187","Maplink1")</f>
        <v>Maplink1</v>
      </c>
      <c r="AU558" s="20" t="str">
        <f>HYPERLINK("https://www.google.iq/maps/search/+36.7094,42.6187/@36.7094,42.6187,14z?hl=en","Maplink2")</f>
        <v>Maplink2</v>
      </c>
      <c r="AV558" s="20" t="str">
        <f>HYPERLINK("http://www.bing.com/maps/?lvl=14&amp;sty=h&amp;cp=36.7094~42.6187&amp;sp=point.36.7094_42.6187","Maplink3")</f>
        <v>Maplink3</v>
      </c>
    </row>
    <row r="559" spans="1:48" s="19" customFormat="1" x14ac:dyDescent="0.25">
      <c r="A559" s="9">
        <v>24906</v>
      </c>
      <c r="B559" s="10" t="s">
        <v>20</v>
      </c>
      <c r="C559" s="10" t="s">
        <v>1163</v>
      </c>
      <c r="D559" s="10" t="s">
        <v>1184</v>
      </c>
      <c r="E559" s="10" t="s">
        <v>1185</v>
      </c>
      <c r="F559" s="10">
        <v>36.595396350000001</v>
      </c>
      <c r="G559" s="10">
        <v>42.61828182</v>
      </c>
      <c r="H559" s="11">
        <v>122</v>
      </c>
      <c r="I559" s="11">
        <v>732</v>
      </c>
      <c r="J559" s="11"/>
      <c r="K559" s="11"/>
      <c r="L559" s="11"/>
      <c r="M559" s="11"/>
      <c r="N559" s="11">
        <v>122</v>
      </c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>
        <v>117</v>
      </c>
      <c r="AD559" s="11">
        <v>5</v>
      </c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>
        <v>122</v>
      </c>
      <c r="AP559" s="11"/>
      <c r="AQ559" s="11"/>
      <c r="AR559" s="11"/>
      <c r="AS559" s="11"/>
      <c r="AT559" s="20" t="str">
        <f>HYPERLINK("http://www.openstreetmap.org/?mlat=36.5954&amp;mlon=42.6183&amp;zoom=12#map=12/36.5954/42.6183","Maplink1")</f>
        <v>Maplink1</v>
      </c>
      <c r="AU559" s="20" t="str">
        <f>HYPERLINK("https://www.google.iq/maps/search/+36.5954,42.6183/@36.5954,42.6183,14z?hl=en","Maplink2")</f>
        <v>Maplink2</v>
      </c>
      <c r="AV559" s="20" t="str">
        <f>HYPERLINK("http://www.bing.com/maps/?lvl=14&amp;sty=h&amp;cp=36.5954~42.6183&amp;sp=point.36.5954_42.6183","Maplink3")</f>
        <v>Maplink3</v>
      </c>
    </row>
    <row r="560" spans="1:48" s="19" customFormat="1" x14ac:dyDescent="0.25">
      <c r="A560" s="9">
        <v>25690</v>
      </c>
      <c r="B560" s="10" t="s">
        <v>20</v>
      </c>
      <c r="C560" s="10" t="s">
        <v>1163</v>
      </c>
      <c r="D560" s="10" t="s">
        <v>1186</v>
      </c>
      <c r="E560" s="10" t="s">
        <v>1187</v>
      </c>
      <c r="F560" s="10">
        <v>36.600946389999997</v>
      </c>
      <c r="G560" s="10">
        <v>42.643235320000002</v>
      </c>
      <c r="H560" s="11">
        <v>120</v>
      </c>
      <c r="I560" s="11">
        <v>720</v>
      </c>
      <c r="J560" s="11"/>
      <c r="K560" s="11"/>
      <c r="L560" s="11"/>
      <c r="M560" s="11"/>
      <c r="N560" s="11">
        <v>120</v>
      </c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>
        <v>120</v>
      </c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>
        <v>120</v>
      </c>
      <c r="AP560" s="11"/>
      <c r="AQ560" s="11"/>
      <c r="AR560" s="11"/>
      <c r="AS560" s="11"/>
      <c r="AT560" s="20" t="str">
        <f>HYPERLINK("http://www.openstreetmap.org/?mlat=36.6009&amp;mlon=42.6432&amp;zoom=12#map=12/36.6009/42.6432","Maplink1")</f>
        <v>Maplink1</v>
      </c>
      <c r="AU560" s="20" t="str">
        <f>HYPERLINK("https://www.google.iq/maps/search/+36.6009,42.6432/@36.6009,42.6432,14z?hl=en","Maplink2")</f>
        <v>Maplink2</v>
      </c>
      <c r="AV560" s="20" t="str">
        <f>HYPERLINK("http://www.bing.com/maps/?lvl=14&amp;sty=h&amp;cp=36.6009~42.6432&amp;sp=point.36.6009_42.6432","Maplink3")</f>
        <v>Maplink3</v>
      </c>
    </row>
    <row r="561" spans="1:48" s="19" customFormat="1" x14ac:dyDescent="0.25">
      <c r="A561" s="9">
        <v>28450</v>
      </c>
      <c r="B561" s="10" t="s">
        <v>20</v>
      </c>
      <c r="C561" s="10" t="s">
        <v>1163</v>
      </c>
      <c r="D561" s="10" t="s">
        <v>1188</v>
      </c>
      <c r="E561" s="10" t="s">
        <v>1189</v>
      </c>
      <c r="F561" s="10">
        <v>36.679831201399999</v>
      </c>
      <c r="G561" s="10">
        <v>42.393061208100001</v>
      </c>
      <c r="H561" s="11">
        <v>1301</v>
      </c>
      <c r="I561" s="11">
        <v>7806</v>
      </c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>
        <v>1301</v>
      </c>
      <c r="W561" s="11"/>
      <c r="X561" s="11"/>
      <c r="Y561" s="11"/>
      <c r="Z561" s="11"/>
      <c r="AA561" s="11"/>
      <c r="AB561" s="11"/>
      <c r="AC561" s="11">
        <v>1301</v>
      </c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>
        <v>1301</v>
      </c>
      <c r="AP561" s="11"/>
      <c r="AQ561" s="11"/>
      <c r="AR561" s="11"/>
      <c r="AS561" s="11"/>
      <c r="AT561" s="20" t="str">
        <f>HYPERLINK("http://www.openstreetmap.org/?mlat=36.6798&amp;mlon=42.3931&amp;zoom=12#map=12/36.6798/42.3931","Maplink1")</f>
        <v>Maplink1</v>
      </c>
      <c r="AU561" s="20" t="str">
        <f>HYPERLINK("https://www.google.iq/maps/search/+36.6798,42.3931/@36.6798,42.3931,14z?hl=en","Maplink2")</f>
        <v>Maplink2</v>
      </c>
      <c r="AV561" s="20" t="str">
        <f>HYPERLINK("http://www.bing.com/maps/?lvl=14&amp;sty=h&amp;cp=36.6798~42.3931&amp;sp=point.36.6798_42.3931","Maplink3")</f>
        <v>Maplink3</v>
      </c>
    </row>
    <row r="562" spans="1:48" s="19" customFormat="1" x14ac:dyDescent="0.25">
      <c r="A562" s="9">
        <v>17621</v>
      </c>
      <c r="B562" s="10" t="s">
        <v>20</v>
      </c>
      <c r="C562" s="10" t="s">
        <v>1163</v>
      </c>
      <c r="D562" s="10" t="s">
        <v>1190</v>
      </c>
      <c r="E562" s="10" t="s">
        <v>1191</v>
      </c>
      <c r="F562" s="10">
        <v>36.584802269999997</v>
      </c>
      <c r="G562" s="10">
        <v>42.485178560000001</v>
      </c>
      <c r="H562" s="11">
        <v>130</v>
      </c>
      <c r="I562" s="11">
        <v>780</v>
      </c>
      <c r="J562" s="11"/>
      <c r="K562" s="11"/>
      <c r="L562" s="11"/>
      <c r="M562" s="11"/>
      <c r="N562" s="11">
        <v>130</v>
      </c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>
        <v>130</v>
      </c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>
        <v>130</v>
      </c>
      <c r="AP562" s="11"/>
      <c r="AQ562" s="11"/>
      <c r="AR562" s="11"/>
      <c r="AS562" s="11"/>
      <c r="AT562" s="20" t="str">
        <f>HYPERLINK("http://www.openstreetmap.org/?mlat=36.5848&amp;mlon=42.4852&amp;zoom=12#map=12/36.5848/42.4852","Maplink1")</f>
        <v>Maplink1</v>
      </c>
      <c r="AU562" s="20" t="str">
        <f>HYPERLINK("https://www.google.iq/maps/search/+36.5848,42.4852/@36.5848,42.4852,14z?hl=en","Maplink2")</f>
        <v>Maplink2</v>
      </c>
      <c r="AV562" s="20" t="str">
        <f>HYPERLINK("http://www.bing.com/maps/?lvl=14&amp;sty=h&amp;cp=36.5848~42.4852&amp;sp=point.36.5848_42.4852","Maplink3")</f>
        <v>Maplink3</v>
      </c>
    </row>
    <row r="563" spans="1:48" s="19" customFormat="1" x14ac:dyDescent="0.25">
      <c r="A563" s="9">
        <v>25980</v>
      </c>
      <c r="B563" s="10" t="s">
        <v>20</v>
      </c>
      <c r="C563" s="10" t="s">
        <v>1163</v>
      </c>
      <c r="D563" s="10" t="s">
        <v>1192</v>
      </c>
      <c r="E563" s="10" t="s">
        <v>1193</v>
      </c>
      <c r="F563" s="10">
        <v>36.827888252699999</v>
      </c>
      <c r="G563" s="10">
        <v>42.134765756500002</v>
      </c>
      <c r="H563" s="11">
        <v>15</v>
      </c>
      <c r="I563" s="11">
        <v>90</v>
      </c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>
        <v>15</v>
      </c>
      <c r="W563" s="11"/>
      <c r="X563" s="11"/>
      <c r="Y563" s="11"/>
      <c r="Z563" s="11"/>
      <c r="AA563" s="11"/>
      <c r="AB563" s="11"/>
      <c r="AC563" s="11">
        <v>15</v>
      </c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>
        <v>15</v>
      </c>
      <c r="AP563" s="11"/>
      <c r="AQ563" s="11"/>
      <c r="AR563" s="11"/>
      <c r="AS563" s="11"/>
      <c r="AT563" s="20" t="str">
        <f>HYPERLINK("http://www.openstreetmap.org/?mlat=36.8279&amp;mlon=42.1348&amp;zoom=12#map=12/36.8279/42.1348","Maplink1")</f>
        <v>Maplink1</v>
      </c>
      <c r="AU563" s="20" t="str">
        <f>HYPERLINK("https://www.google.iq/maps/search/+36.8279,42.1348/@36.8279,42.1348,14z?hl=en","Maplink2")</f>
        <v>Maplink2</v>
      </c>
      <c r="AV563" s="20" t="str">
        <f>HYPERLINK("http://www.bing.com/maps/?lvl=14&amp;sty=h&amp;cp=36.8279~42.1348&amp;sp=point.36.8279_42.1348","Maplink3")</f>
        <v>Maplink3</v>
      </c>
    </row>
    <row r="564" spans="1:48" s="19" customFormat="1" x14ac:dyDescent="0.25">
      <c r="A564" s="9">
        <v>25691</v>
      </c>
      <c r="B564" s="10" t="s">
        <v>20</v>
      </c>
      <c r="C564" s="10" t="s">
        <v>1163</v>
      </c>
      <c r="D564" s="10" t="s">
        <v>1194</v>
      </c>
      <c r="E564" s="10" t="s">
        <v>1195</v>
      </c>
      <c r="F564" s="10">
        <v>36.545873</v>
      </c>
      <c r="G564" s="10">
        <v>42.445433999999999</v>
      </c>
      <c r="H564" s="11">
        <v>5</v>
      </c>
      <c r="I564" s="11">
        <v>30</v>
      </c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>
        <v>5</v>
      </c>
      <c r="W564" s="11"/>
      <c r="X564" s="11"/>
      <c r="Y564" s="11"/>
      <c r="Z564" s="11"/>
      <c r="AA564" s="11"/>
      <c r="AB564" s="11"/>
      <c r="AC564" s="11">
        <v>5</v>
      </c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>
        <v>5</v>
      </c>
      <c r="AS564" s="11"/>
      <c r="AT564" s="20" t="str">
        <f>HYPERLINK("http://www.openstreetmap.org/?mlat=36.5459&amp;mlon=42.4454&amp;zoom=12#map=12/36.5459/42.4454","Maplink1")</f>
        <v>Maplink1</v>
      </c>
      <c r="AU564" s="20" t="str">
        <f>HYPERLINK("https://www.google.iq/maps/search/+36.5459,42.4454/@36.5459,42.4454,14z?hl=en","Maplink2")</f>
        <v>Maplink2</v>
      </c>
      <c r="AV564" s="20" t="str">
        <f>HYPERLINK("http://www.bing.com/maps/?lvl=14&amp;sty=h&amp;cp=36.5459~42.4454&amp;sp=point.36.5459_42.4454","Maplink3")</f>
        <v>Maplink3</v>
      </c>
    </row>
    <row r="565" spans="1:48" s="19" customFormat="1" x14ac:dyDescent="0.25">
      <c r="A565" s="9">
        <v>27355</v>
      </c>
      <c r="B565" s="10" t="s">
        <v>20</v>
      </c>
      <c r="C565" s="10" t="s">
        <v>1163</v>
      </c>
      <c r="D565" s="10" t="s">
        <v>1196</v>
      </c>
      <c r="E565" s="10" t="s">
        <v>1197</v>
      </c>
      <c r="F565" s="10">
        <v>36.81731267</v>
      </c>
      <c r="G565" s="10">
        <v>42.417493550000003</v>
      </c>
      <c r="H565" s="11">
        <v>160</v>
      </c>
      <c r="I565" s="11">
        <v>960</v>
      </c>
      <c r="J565" s="11"/>
      <c r="K565" s="11"/>
      <c r="L565" s="11"/>
      <c r="M565" s="11"/>
      <c r="N565" s="11">
        <v>160</v>
      </c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>
        <v>160</v>
      </c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>
        <v>160</v>
      </c>
      <c r="AP565" s="11"/>
      <c r="AQ565" s="11"/>
      <c r="AR565" s="11"/>
      <c r="AS565" s="11"/>
      <c r="AT565" s="20" t="str">
        <f>HYPERLINK("http://www.openstreetmap.org/?mlat=36.8173&amp;mlon=42.4175&amp;zoom=12#map=12/36.8173/42.4175","Maplink1")</f>
        <v>Maplink1</v>
      </c>
      <c r="AU565" s="20" t="str">
        <f>HYPERLINK("https://www.google.iq/maps/search/+36.8173,42.4175/@36.8173,42.4175,14z?hl=en","Maplink2")</f>
        <v>Maplink2</v>
      </c>
      <c r="AV565" s="20" t="str">
        <f>HYPERLINK("http://www.bing.com/maps/?lvl=14&amp;sty=h&amp;cp=36.8173~42.4175&amp;sp=point.36.8173_42.4175","Maplink3")</f>
        <v>Maplink3</v>
      </c>
    </row>
    <row r="566" spans="1:48" s="19" customFormat="1" x14ac:dyDescent="0.25">
      <c r="A566" s="9">
        <v>25686</v>
      </c>
      <c r="B566" s="10" t="s">
        <v>20</v>
      </c>
      <c r="C566" s="10" t="s">
        <v>1163</v>
      </c>
      <c r="D566" s="10" t="s">
        <v>1198</v>
      </c>
      <c r="E566" s="10" t="s">
        <v>1199</v>
      </c>
      <c r="F566" s="10">
        <v>36.805915579999997</v>
      </c>
      <c r="G566" s="10">
        <v>42.08635511</v>
      </c>
      <c r="H566" s="11">
        <v>152</v>
      </c>
      <c r="I566" s="11">
        <v>912</v>
      </c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>
        <v>152</v>
      </c>
      <c r="W566" s="11"/>
      <c r="X566" s="11"/>
      <c r="Y566" s="11"/>
      <c r="Z566" s="11"/>
      <c r="AA566" s="11"/>
      <c r="AB566" s="11"/>
      <c r="AC566" s="11">
        <v>152</v>
      </c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>
        <v>152</v>
      </c>
      <c r="AP566" s="11"/>
      <c r="AQ566" s="11"/>
      <c r="AR566" s="11"/>
      <c r="AS566" s="11"/>
      <c r="AT566" s="20" t="str">
        <f>HYPERLINK("http://www.openstreetmap.org/?mlat=36.8059&amp;mlon=42.0864&amp;zoom=12#map=12/36.8059/42.0864","Maplink1")</f>
        <v>Maplink1</v>
      </c>
      <c r="AU566" s="20" t="str">
        <f>HYPERLINK("https://www.google.iq/maps/search/+36.8059,42.0864/@36.8059,42.0864,14z?hl=en","Maplink2")</f>
        <v>Maplink2</v>
      </c>
      <c r="AV566" s="20" t="str">
        <f>HYPERLINK("http://www.bing.com/maps/?lvl=14&amp;sty=h&amp;cp=36.8059~42.0864&amp;sp=point.36.8059_42.0864","Maplink3")</f>
        <v>Maplink3</v>
      </c>
    </row>
    <row r="567" spans="1:48" s="19" customFormat="1" x14ac:dyDescent="0.25">
      <c r="A567" s="9">
        <v>18308</v>
      </c>
      <c r="B567" s="10" t="s">
        <v>20</v>
      </c>
      <c r="C567" s="10" t="s">
        <v>1163</v>
      </c>
      <c r="D567" s="10" t="s">
        <v>177</v>
      </c>
      <c r="E567" s="10" t="s">
        <v>211</v>
      </c>
      <c r="F567" s="10">
        <v>36.802901009999999</v>
      </c>
      <c r="G567" s="10">
        <v>42.097400810000003</v>
      </c>
      <c r="H567" s="11">
        <v>1207</v>
      </c>
      <c r="I567" s="11">
        <v>7242</v>
      </c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>
        <v>1207</v>
      </c>
      <c r="W567" s="11"/>
      <c r="X567" s="11"/>
      <c r="Y567" s="11"/>
      <c r="Z567" s="11"/>
      <c r="AA567" s="11"/>
      <c r="AB567" s="11"/>
      <c r="AC567" s="11">
        <v>1207</v>
      </c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>
        <v>1203</v>
      </c>
      <c r="AP567" s="11"/>
      <c r="AQ567" s="11"/>
      <c r="AR567" s="11">
        <v>4</v>
      </c>
      <c r="AS567" s="11"/>
      <c r="AT567" s="20" t="str">
        <f>HYPERLINK("http://www.openstreetmap.org/?mlat=36.8029&amp;mlon=42.0974&amp;zoom=12#map=12/36.8029/42.0974","Maplink1")</f>
        <v>Maplink1</v>
      </c>
      <c r="AU567" s="20" t="str">
        <f>HYPERLINK("https://www.google.iq/maps/search/+36.8029,42.0974/@36.8029,42.0974,14z?hl=en","Maplink2")</f>
        <v>Maplink2</v>
      </c>
      <c r="AV567" s="20" t="str">
        <f>HYPERLINK("http://www.bing.com/maps/?lvl=14&amp;sty=h&amp;cp=36.8029~42.0974&amp;sp=point.36.8029_42.0974","Maplink3")</f>
        <v>Maplink3</v>
      </c>
    </row>
    <row r="568" spans="1:48" s="19" customFormat="1" x14ac:dyDescent="0.25">
      <c r="A568" s="9">
        <v>24701</v>
      </c>
      <c r="B568" s="10" t="s">
        <v>20</v>
      </c>
      <c r="C568" s="10" t="s">
        <v>1163</v>
      </c>
      <c r="D568" s="10" t="s">
        <v>1200</v>
      </c>
      <c r="E568" s="10" t="s">
        <v>1201</v>
      </c>
      <c r="F568" s="10">
        <v>36.808798635700001</v>
      </c>
      <c r="G568" s="10">
        <v>42.091108648400002</v>
      </c>
      <c r="H568" s="11">
        <v>524</v>
      </c>
      <c r="I568" s="11">
        <v>3144</v>
      </c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>
        <v>524</v>
      </c>
      <c r="W568" s="11"/>
      <c r="X568" s="11"/>
      <c r="Y568" s="11"/>
      <c r="Z568" s="11"/>
      <c r="AA568" s="11"/>
      <c r="AB568" s="11"/>
      <c r="AC568" s="11">
        <v>524</v>
      </c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>
        <v>501</v>
      </c>
      <c r="AP568" s="11"/>
      <c r="AQ568" s="11"/>
      <c r="AR568" s="11">
        <v>23</v>
      </c>
      <c r="AS568" s="11"/>
      <c r="AT568" s="20" t="str">
        <f>HYPERLINK("http://www.openstreetmap.org/?mlat=36.8088&amp;mlon=42.0911&amp;zoom=12#map=12/36.8088/42.0911","Maplink1")</f>
        <v>Maplink1</v>
      </c>
      <c r="AU568" s="20" t="str">
        <f>HYPERLINK("https://www.google.iq/maps/search/+36.8088,42.0911/@36.8088,42.0911,14z?hl=en","Maplink2")</f>
        <v>Maplink2</v>
      </c>
      <c r="AV568" s="20" t="str">
        <f>HYPERLINK("http://www.bing.com/maps/?lvl=14&amp;sty=h&amp;cp=36.8088~42.0911&amp;sp=point.36.8088_42.0911","Maplink3")</f>
        <v>Maplink3</v>
      </c>
    </row>
    <row r="569" spans="1:48" s="19" customFormat="1" x14ac:dyDescent="0.25">
      <c r="A569" s="9">
        <v>18305</v>
      </c>
      <c r="B569" s="10" t="s">
        <v>20</v>
      </c>
      <c r="C569" s="10" t="s">
        <v>1163</v>
      </c>
      <c r="D569" s="10" t="s">
        <v>1202</v>
      </c>
      <c r="E569" s="10" t="s">
        <v>1203</v>
      </c>
      <c r="F569" s="10">
        <v>36.387099999999997</v>
      </c>
      <c r="G569" s="10">
        <v>42.460900000000002</v>
      </c>
      <c r="H569" s="11">
        <v>10</v>
      </c>
      <c r="I569" s="11">
        <v>60</v>
      </c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>
        <v>10</v>
      </c>
      <c r="W569" s="11"/>
      <c r="X569" s="11"/>
      <c r="Y569" s="11"/>
      <c r="Z569" s="11"/>
      <c r="AA569" s="11"/>
      <c r="AB569" s="11"/>
      <c r="AC569" s="11">
        <v>10</v>
      </c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>
        <v>10</v>
      </c>
      <c r="AP569" s="11"/>
      <c r="AQ569" s="11"/>
      <c r="AR569" s="11"/>
      <c r="AS569" s="11"/>
      <c r="AT569" s="20" t="str">
        <f>HYPERLINK("http://www.openstreetmap.org/?mlat=36.3871&amp;mlon=42.4609&amp;zoom=12#map=12/36.3871/42.4609","Maplink1")</f>
        <v>Maplink1</v>
      </c>
      <c r="AU569" s="20" t="str">
        <f>HYPERLINK("https://www.google.iq/maps/search/+36.3871,42.4609/@36.3871,42.4609,14z?hl=en","Maplink2")</f>
        <v>Maplink2</v>
      </c>
      <c r="AV569" s="20" t="str">
        <f>HYPERLINK("http://www.bing.com/maps/?lvl=14&amp;sty=h&amp;cp=36.3871~42.4609&amp;sp=point.36.3871_42.4609","Maplink3")</f>
        <v>Maplink3</v>
      </c>
    </row>
    <row r="570" spans="1:48" s="19" customFormat="1" x14ac:dyDescent="0.25">
      <c r="A570" s="9">
        <v>25688</v>
      </c>
      <c r="B570" s="10" t="s">
        <v>20</v>
      </c>
      <c r="C570" s="10" t="s">
        <v>1163</v>
      </c>
      <c r="D570" s="10" t="s">
        <v>1204</v>
      </c>
      <c r="E570" s="10" t="s">
        <v>1205</v>
      </c>
      <c r="F570" s="10">
        <v>36.807910980000003</v>
      </c>
      <c r="G570" s="10">
        <v>42.082697750000001</v>
      </c>
      <c r="H570" s="11">
        <v>446</v>
      </c>
      <c r="I570" s="11">
        <v>2676</v>
      </c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>
        <v>446</v>
      </c>
      <c r="W570" s="11"/>
      <c r="X570" s="11"/>
      <c r="Y570" s="11"/>
      <c r="Z570" s="11"/>
      <c r="AA570" s="11"/>
      <c r="AB570" s="11"/>
      <c r="AC570" s="11">
        <v>446</v>
      </c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>
        <v>436</v>
      </c>
      <c r="AP570" s="11"/>
      <c r="AQ570" s="11"/>
      <c r="AR570" s="11">
        <v>10</v>
      </c>
      <c r="AS570" s="11"/>
      <c r="AT570" s="20" t="str">
        <f>HYPERLINK("http://www.openstreetmap.org/?mlat=36.8079&amp;mlon=42.0827&amp;zoom=12#map=12/36.8079/42.0827","Maplink1")</f>
        <v>Maplink1</v>
      </c>
      <c r="AU570" s="20" t="str">
        <f>HYPERLINK("https://www.google.iq/maps/search/+36.8079,42.0827/@36.8079,42.0827,14z?hl=en","Maplink2")</f>
        <v>Maplink2</v>
      </c>
      <c r="AV570" s="20" t="str">
        <f>HYPERLINK("http://www.bing.com/maps/?lvl=14&amp;sty=h&amp;cp=36.8079~42.0827&amp;sp=point.36.8079_42.0827","Maplink3")</f>
        <v>Maplink3</v>
      </c>
    </row>
    <row r="571" spans="1:48" s="19" customFormat="1" x14ac:dyDescent="0.25">
      <c r="A571" s="9">
        <v>18303</v>
      </c>
      <c r="B571" s="10" t="s">
        <v>20</v>
      </c>
      <c r="C571" s="10" t="s">
        <v>1163</v>
      </c>
      <c r="D571" s="10" t="s">
        <v>1206</v>
      </c>
      <c r="E571" s="10" t="s">
        <v>772</v>
      </c>
      <c r="F571" s="10">
        <v>36.388599999999997</v>
      </c>
      <c r="G571" s="10">
        <v>42.463999999999999</v>
      </c>
      <c r="H571" s="11">
        <v>16</v>
      </c>
      <c r="I571" s="11">
        <v>96</v>
      </c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>
        <v>16</v>
      </c>
      <c r="W571" s="11"/>
      <c r="X571" s="11"/>
      <c r="Y571" s="11"/>
      <c r="Z571" s="11"/>
      <c r="AA571" s="11"/>
      <c r="AB571" s="11"/>
      <c r="AC571" s="11">
        <v>16</v>
      </c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>
        <v>16</v>
      </c>
      <c r="AP571" s="11"/>
      <c r="AQ571" s="11"/>
      <c r="AR571" s="11"/>
      <c r="AS571" s="11"/>
      <c r="AT571" s="20" t="str">
        <f>HYPERLINK("http://www.openstreetmap.org/?mlat=36.3886&amp;mlon=42.464&amp;zoom=12#map=12/36.3886/42.464","Maplink1")</f>
        <v>Maplink1</v>
      </c>
      <c r="AU571" s="20" t="str">
        <f>HYPERLINK("https://www.google.iq/maps/search/+36.3886,42.464/@36.3886,42.464,14z?hl=en","Maplink2")</f>
        <v>Maplink2</v>
      </c>
      <c r="AV571" s="20" t="str">
        <f>HYPERLINK("http://www.bing.com/maps/?lvl=14&amp;sty=h&amp;cp=36.3886~42.464&amp;sp=point.36.3886_42.464","Maplink3")</f>
        <v>Maplink3</v>
      </c>
    </row>
    <row r="572" spans="1:48" s="19" customFormat="1" x14ac:dyDescent="0.25">
      <c r="A572" s="9">
        <v>25687</v>
      </c>
      <c r="B572" s="10" t="s">
        <v>20</v>
      </c>
      <c r="C572" s="10" t="s">
        <v>1163</v>
      </c>
      <c r="D572" s="10" t="s">
        <v>1207</v>
      </c>
      <c r="E572" s="10" t="s">
        <v>1208</v>
      </c>
      <c r="F572" s="10">
        <v>36.799288140000002</v>
      </c>
      <c r="G572" s="10">
        <v>42.095022759999999</v>
      </c>
      <c r="H572" s="11">
        <v>160</v>
      </c>
      <c r="I572" s="11">
        <v>960</v>
      </c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>
        <v>160</v>
      </c>
      <c r="W572" s="11"/>
      <c r="X572" s="11"/>
      <c r="Y572" s="11"/>
      <c r="Z572" s="11"/>
      <c r="AA572" s="11"/>
      <c r="AB572" s="11"/>
      <c r="AC572" s="11">
        <v>160</v>
      </c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>
        <v>159</v>
      </c>
      <c r="AP572" s="11"/>
      <c r="AQ572" s="11"/>
      <c r="AR572" s="11">
        <v>1</v>
      </c>
      <c r="AS572" s="11"/>
      <c r="AT572" s="20" t="str">
        <f>HYPERLINK("http://www.openstreetmap.org/?mlat=36.7993&amp;mlon=42.095&amp;zoom=12#map=12/36.7993/42.095","Maplink1")</f>
        <v>Maplink1</v>
      </c>
      <c r="AU572" s="20" t="str">
        <f>HYPERLINK("https://www.google.iq/maps/search/+36.7993,42.095/@36.7993,42.095,14z?hl=en","Maplink2")</f>
        <v>Maplink2</v>
      </c>
      <c r="AV572" s="20" t="str">
        <f>HYPERLINK("http://www.bing.com/maps/?lvl=14&amp;sty=h&amp;cp=36.7993~42.095&amp;sp=point.36.7993_42.095","Maplink3")</f>
        <v>Maplink3</v>
      </c>
    </row>
    <row r="573" spans="1:48" s="19" customFormat="1" x14ac:dyDescent="0.25">
      <c r="A573" s="9">
        <v>18309</v>
      </c>
      <c r="B573" s="10" t="s">
        <v>20</v>
      </c>
      <c r="C573" s="10" t="s">
        <v>1163</v>
      </c>
      <c r="D573" s="10" t="s">
        <v>1209</v>
      </c>
      <c r="E573" s="10" t="s">
        <v>684</v>
      </c>
      <c r="F573" s="10">
        <v>36.382599999999996</v>
      </c>
      <c r="G573" s="10">
        <v>42.4651</v>
      </c>
      <c r="H573" s="11">
        <v>20</v>
      </c>
      <c r="I573" s="11">
        <v>120</v>
      </c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>
        <v>20</v>
      </c>
      <c r="W573" s="11"/>
      <c r="X573" s="11"/>
      <c r="Y573" s="11"/>
      <c r="Z573" s="11"/>
      <c r="AA573" s="11"/>
      <c r="AB573" s="11"/>
      <c r="AC573" s="11">
        <v>20</v>
      </c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>
        <v>20</v>
      </c>
      <c r="AP573" s="11"/>
      <c r="AQ573" s="11"/>
      <c r="AR573" s="11"/>
      <c r="AS573" s="11"/>
      <c r="AT573" s="20" t="str">
        <f>HYPERLINK("http://www.openstreetmap.org/?mlat=36.3826&amp;mlon=42.4651&amp;zoom=12#map=12/36.3826/42.4651","Maplink1")</f>
        <v>Maplink1</v>
      </c>
      <c r="AU573" s="20" t="str">
        <f>HYPERLINK("https://www.google.iq/maps/search/+36.3826,42.4651/@36.3826,42.4651,14z?hl=en","Maplink2")</f>
        <v>Maplink2</v>
      </c>
      <c r="AV573" s="20" t="str">
        <f>HYPERLINK("http://www.bing.com/maps/?lvl=14&amp;sty=h&amp;cp=36.3826~42.4651&amp;sp=point.36.3826_42.4651","Maplink3")</f>
        <v>Maplink3</v>
      </c>
    </row>
    <row r="574" spans="1:48" s="19" customFormat="1" x14ac:dyDescent="0.25">
      <c r="A574" s="9">
        <v>18304</v>
      </c>
      <c r="B574" s="10" t="s">
        <v>20</v>
      </c>
      <c r="C574" s="10" t="s">
        <v>1163</v>
      </c>
      <c r="D574" s="10" t="s">
        <v>1210</v>
      </c>
      <c r="E574" s="10" t="s">
        <v>1211</v>
      </c>
      <c r="F574" s="10">
        <v>36.367199999999997</v>
      </c>
      <c r="G574" s="10">
        <v>42.432099999999998</v>
      </c>
      <c r="H574" s="11">
        <v>25</v>
      </c>
      <c r="I574" s="11">
        <v>150</v>
      </c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>
        <v>25</v>
      </c>
      <c r="W574" s="11"/>
      <c r="X574" s="11"/>
      <c r="Y574" s="11"/>
      <c r="Z574" s="11"/>
      <c r="AA574" s="11"/>
      <c r="AB574" s="11"/>
      <c r="AC574" s="11">
        <v>25</v>
      </c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>
        <v>25</v>
      </c>
      <c r="AP574" s="11"/>
      <c r="AQ574" s="11"/>
      <c r="AR574" s="11"/>
      <c r="AS574" s="11"/>
      <c r="AT574" s="20" t="str">
        <f>HYPERLINK("http://www.openstreetmap.org/?mlat=36.3672&amp;mlon=42.4321&amp;zoom=12#map=12/36.3672/42.4321","Maplink1")</f>
        <v>Maplink1</v>
      </c>
      <c r="AU574" s="20" t="str">
        <f>HYPERLINK("https://www.google.iq/maps/search/+36.3672,42.4321/@36.3672,42.4321,14z?hl=en","Maplink2")</f>
        <v>Maplink2</v>
      </c>
      <c r="AV574" s="20" t="str">
        <f>HYPERLINK("http://www.bing.com/maps/?lvl=14&amp;sty=h&amp;cp=36.3672~42.4321&amp;sp=point.36.3672_42.4321","Maplink3")</f>
        <v>Maplink3</v>
      </c>
    </row>
    <row r="575" spans="1:48" s="19" customFormat="1" x14ac:dyDescent="0.25">
      <c r="A575" s="9">
        <v>25819</v>
      </c>
      <c r="B575" s="10" t="s">
        <v>20</v>
      </c>
      <c r="C575" s="10" t="s">
        <v>1163</v>
      </c>
      <c r="D575" s="10" t="s">
        <v>1212</v>
      </c>
      <c r="E575" s="10" t="s">
        <v>666</v>
      </c>
      <c r="F575" s="10">
        <v>36.373399999999997</v>
      </c>
      <c r="G575" s="10">
        <v>42.4651</v>
      </c>
      <c r="H575" s="11">
        <v>53</v>
      </c>
      <c r="I575" s="11">
        <v>318</v>
      </c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>
        <v>53</v>
      </c>
      <c r="W575" s="11"/>
      <c r="X575" s="11"/>
      <c r="Y575" s="11"/>
      <c r="Z575" s="11"/>
      <c r="AA575" s="11"/>
      <c r="AB575" s="11"/>
      <c r="AC575" s="11">
        <v>53</v>
      </c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>
        <v>53</v>
      </c>
      <c r="AP575" s="11"/>
      <c r="AQ575" s="11"/>
      <c r="AR575" s="11"/>
      <c r="AS575" s="11"/>
      <c r="AT575" s="20" t="str">
        <f>HYPERLINK("http://www.openstreetmap.org/?mlat=36.3734&amp;mlon=42.4651&amp;zoom=12#map=12/36.3734/42.4651","Maplink1")</f>
        <v>Maplink1</v>
      </c>
      <c r="AU575" s="20" t="str">
        <f>HYPERLINK("https://www.google.iq/maps/search/+36.3734,42.4651/@36.3734,42.4651,14z?hl=en","Maplink2")</f>
        <v>Maplink2</v>
      </c>
      <c r="AV575" s="20" t="str">
        <f>HYPERLINK("http://www.bing.com/maps/?lvl=14&amp;sty=h&amp;cp=36.3734~42.4651&amp;sp=point.36.3734_42.4651","Maplink3")</f>
        <v>Maplink3</v>
      </c>
    </row>
    <row r="576" spans="1:48" s="19" customFormat="1" x14ac:dyDescent="0.25">
      <c r="A576" s="9">
        <v>25808</v>
      </c>
      <c r="B576" s="10" t="s">
        <v>20</v>
      </c>
      <c r="C576" s="10" t="s">
        <v>1163</v>
      </c>
      <c r="D576" s="10" t="s">
        <v>1213</v>
      </c>
      <c r="E576" s="10" t="s">
        <v>1214</v>
      </c>
      <c r="F576" s="10">
        <v>36.804023440000002</v>
      </c>
      <c r="G576" s="10">
        <v>42.086926939999998</v>
      </c>
      <c r="H576" s="11">
        <v>570</v>
      </c>
      <c r="I576" s="11">
        <v>3420</v>
      </c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>
        <v>570</v>
      </c>
      <c r="W576" s="11"/>
      <c r="X576" s="11"/>
      <c r="Y576" s="11"/>
      <c r="Z576" s="11"/>
      <c r="AA576" s="11"/>
      <c r="AB576" s="11"/>
      <c r="AC576" s="11">
        <v>570</v>
      </c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>
        <v>570</v>
      </c>
      <c r="AP576" s="11"/>
      <c r="AQ576" s="11"/>
      <c r="AR576" s="11"/>
      <c r="AS576" s="11"/>
      <c r="AT576" s="20" t="str">
        <f>HYPERLINK("http://www.openstreetmap.org/?mlat=36.804&amp;mlon=42.0869&amp;zoom=12#map=12/36.804/42.0869","Maplink1")</f>
        <v>Maplink1</v>
      </c>
      <c r="AU576" s="20" t="str">
        <f>HYPERLINK("https://www.google.iq/maps/search/+36.804,42.0869/@36.804,42.0869,14z?hl=en","Maplink2")</f>
        <v>Maplink2</v>
      </c>
      <c r="AV576" s="20" t="str">
        <f>HYPERLINK("http://www.bing.com/maps/?lvl=14&amp;sty=h&amp;cp=36.804~42.0869&amp;sp=point.36.804_42.0869","Maplink3")</f>
        <v>Maplink3</v>
      </c>
    </row>
    <row r="577" spans="1:48" s="19" customFormat="1" x14ac:dyDescent="0.25">
      <c r="A577" s="9">
        <v>25807</v>
      </c>
      <c r="B577" s="10" t="s">
        <v>20</v>
      </c>
      <c r="C577" s="10" t="s">
        <v>1163</v>
      </c>
      <c r="D577" s="10" t="s">
        <v>1215</v>
      </c>
      <c r="E577" s="10" t="s">
        <v>1216</v>
      </c>
      <c r="F577" s="10">
        <v>36.801679610000001</v>
      </c>
      <c r="G577" s="10">
        <v>42.0950682</v>
      </c>
      <c r="H577" s="11">
        <v>217</v>
      </c>
      <c r="I577" s="11">
        <v>1302</v>
      </c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>
        <v>217</v>
      </c>
      <c r="W577" s="11"/>
      <c r="X577" s="11"/>
      <c r="Y577" s="11"/>
      <c r="Z577" s="11"/>
      <c r="AA577" s="11"/>
      <c r="AB577" s="11"/>
      <c r="AC577" s="11">
        <v>217</v>
      </c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>
        <v>217</v>
      </c>
      <c r="AP577" s="11"/>
      <c r="AQ577" s="11"/>
      <c r="AR577" s="11"/>
      <c r="AS577" s="11"/>
      <c r="AT577" s="20" t="str">
        <f>HYPERLINK("http://www.openstreetmap.org/?mlat=36.8017&amp;mlon=42.0951&amp;zoom=12#map=12/36.8017/42.0951","Maplink1")</f>
        <v>Maplink1</v>
      </c>
      <c r="AU577" s="20" t="str">
        <f>HYPERLINK("https://www.google.iq/maps/search/+36.8017,42.0951/@36.8017,42.0951,14z?hl=en","Maplink2")</f>
        <v>Maplink2</v>
      </c>
      <c r="AV577" s="20" t="str">
        <f>HYPERLINK("http://www.bing.com/maps/?lvl=14&amp;sty=h&amp;cp=36.8017~42.0951&amp;sp=point.36.8017_42.0951","Maplink3")</f>
        <v>Maplink3</v>
      </c>
    </row>
    <row r="578" spans="1:48" s="19" customFormat="1" x14ac:dyDescent="0.25">
      <c r="A578" s="9">
        <v>22648</v>
      </c>
      <c r="B578" s="10" t="s">
        <v>20</v>
      </c>
      <c r="C578" s="10" t="s">
        <v>1163</v>
      </c>
      <c r="D578" s="10" t="s">
        <v>1217</v>
      </c>
      <c r="E578" s="10" t="s">
        <v>1218</v>
      </c>
      <c r="F578" s="10">
        <v>36.535484169999997</v>
      </c>
      <c r="G578" s="10">
        <v>42.704745520000003</v>
      </c>
      <c r="H578" s="11">
        <v>25</v>
      </c>
      <c r="I578" s="11">
        <v>150</v>
      </c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>
        <v>25</v>
      </c>
      <c r="W578" s="11"/>
      <c r="X578" s="11"/>
      <c r="Y578" s="11"/>
      <c r="Z578" s="11"/>
      <c r="AA578" s="11"/>
      <c r="AB578" s="11"/>
      <c r="AC578" s="11">
        <v>25</v>
      </c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>
        <v>25</v>
      </c>
      <c r="AR578" s="11"/>
      <c r="AS578" s="11"/>
      <c r="AT578" s="20" t="str">
        <f>HYPERLINK("http://www.openstreetmap.org/?mlat=36.5355&amp;mlon=42.7047&amp;zoom=12#map=12/36.5355/42.7047","Maplink1")</f>
        <v>Maplink1</v>
      </c>
      <c r="AU578" s="20" t="str">
        <f>HYPERLINK("https://www.google.iq/maps/search/+36.5355,42.7047/@36.5355,42.7047,14z?hl=en","Maplink2")</f>
        <v>Maplink2</v>
      </c>
      <c r="AV578" s="20" t="str">
        <f>HYPERLINK("http://www.bing.com/maps/?lvl=14&amp;sty=h&amp;cp=36.5355~42.7047&amp;sp=point.36.5355_42.7047","Maplink3")</f>
        <v>Maplink3</v>
      </c>
    </row>
    <row r="579" spans="1:48" s="19" customFormat="1" x14ac:dyDescent="0.25">
      <c r="A579" s="9">
        <v>27395</v>
      </c>
      <c r="B579" s="10" t="s">
        <v>20</v>
      </c>
      <c r="C579" s="10" t="s">
        <v>1163</v>
      </c>
      <c r="D579" s="10" t="s">
        <v>1219</v>
      </c>
      <c r="E579" s="10" t="s">
        <v>1220</v>
      </c>
      <c r="F579" s="10">
        <v>36.563204040000002</v>
      </c>
      <c r="G579" s="10">
        <v>42.556955940000002</v>
      </c>
      <c r="H579" s="11">
        <v>185</v>
      </c>
      <c r="I579" s="11">
        <v>1110</v>
      </c>
      <c r="J579" s="11"/>
      <c r="K579" s="11"/>
      <c r="L579" s="11"/>
      <c r="M579" s="11"/>
      <c r="N579" s="11">
        <v>175</v>
      </c>
      <c r="O579" s="11"/>
      <c r="P579" s="11"/>
      <c r="Q579" s="11"/>
      <c r="R579" s="11"/>
      <c r="S579" s="11"/>
      <c r="T579" s="11"/>
      <c r="U579" s="11"/>
      <c r="V579" s="11">
        <v>10</v>
      </c>
      <c r="W579" s="11"/>
      <c r="X579" s="11"/>
      <c r="Y579" s="11"/>
      <c r="Z579" s="11"/>
      <c r="AA579" s="11"/>
      <c r="AB579" s="11"/>
      <c r="AC579" s="11">
        <v>173</v>
      </c>
      <c r="AD579" s="11">
        <v>12</v>
      </c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>
        <v>185</v>
      </c>
      <c r="AP579" s="11"/>
      <c r="AQ579" s="11"/>
      <c r="AR579" s="11"/>
      <c r="AS579" s="11"/>
      <c r="AT579" s="20" t="str">
        <f>HYPERLINK("http://www.openstreetmap.org/?mlat=36.5632&amp;mlon=42.557&amp;zoom=12#map=12/36.5632/42.557","Maplink1")</f>
        <v>Maplink1</v>
      </c>
      <c r="AU579" s="20" t="str">
        <f>HYPERLINK("https://www.google.iq/maps/search/+36.5632,42.557/@36.5632,42.557,14z?hl=en","Maplink2")</f>
        <v>Maplink2</v>
      </c>
      <c r="AV579" s="20" t="str">
        <f>HYPERLINK("http://www.bing.com/maps/?lvl=14&amp;sty=h&amp;cp=36.5632~42.557&amp;sp=point.36.5632_42.557","Maplink3")</f>
        <v>Maplink3</v>
      </c>
    </row>
    <row r="580" spans="1:48" s="19" customFormat="1" x14ac:dyDescent="0.25">
      <c r="A580" s="9">
        <v>27357</v>
      </c>
      <c r="B580" s="10" t="s">
        <v>20</v>
      </c>
      <c r="C580" s="10" t="s">
        <v>1163</v>
      </c>
      <c r="D580" s="10" t="s">
        <v>1221</v>
      </c>
      <c r="E580" s="10" t="s">
        <v>1222</v>
      </c>
      <c r="F580" s="10">
        <v>36.550674970000003</v>
      </c>
      <c r="G580" s="10">
        <v>42.069208519999997</v>
      </c>
      <c r="H580" s="11">
        <v>72</v>
      </c>
      <c r="I580" s="11">
        <v>432</v>
      </c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>
        <v>72</v>
      </c>
      <c r="W580" s="11"/>
      <c r="X580" s="11"/>
      <c r="Y580" s="11"/>
      <c r="Z580" s="11"/>
      <c r="AA580" s="11"/>
      <c r="AB580" s="11"/>
      <c r="AC580" s="11">
        <v>72</v>
      </c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>
        <v>72</v>
      </c>
      <c r="AQ580" s="11"/>
      <c r="AR580" s="11"/>
      <c r="AS580" s="11"/>
      <c r="AT580" s="20" t="str">
        <f>HYPERLINK("http://www.openstreetmap.org/?mlat=36.5507&amp;mlon=42.0692&amp;zoom=12#map=12/36.5507/42.0692","Maplink1")</f>
        <v>Maplink1</v>
      </c>
      <c r="AU580" s="20" t="str">
        <f>HYPERLINK("https://www.google.iq/maps/search/+36.5507,42.0692/@36.5507,42.0692,14z?hl=en","Maplink2")</f>
        <v>Maplink2</v>
      </c>
      <c r="AV580" s="20" t="str">
        <f>HYPERLINK("http://www.bing.com/maps/?lvl=14&amp;sty=h&amp;cp=36.5507~42.0692&amp;sp=point.36.5507_42.0692","Maplink3")</f>
        <v>Maplink3</v>
      </c>
    </row>
    <row r="581" spans="1:48" s="19" customFormat="1" x14ac:dyDescent="0.25">
      <c r="A581" s="9">
        <v>27353</v>
      </c>
      <c r="B581" s="10" t="s">
        <v>20</v>
      </c>
      <c r="C581" s="10" t="s">
        <v>1163</v>
      </c>
      <c r="D581" s="10" t="s">
        <v>1223</v>
      </c>
      <c r="E581" s="10" t="s">
        <v>1224</v>
      </c>
      <c r="F581" s="10">
        <v>36.975791620000003</v>
      </c>
      <c r="G581" s="10">
        <v>42.346560930000003</v>
      </c>
      <c r="H581" s="11">
        <v>90</v>
      </c>
      <c r="I581" s="11">
        <v>540</v>
      </c>
      <c r="J581" s="11"/>
      <c r="K581" s="11"/>
      <c r="L581" s="11"/>
      <c r="M581" s="11"/>
      <c r="N581" s="11">
        <v>90</v>
      </c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>
        <v>90</v>
      </c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>
        <v>90</v>
      </c>
      <c r="AP581" s="11"/>
      <c r="AQ581" s="11"/>
      <c r="AR581" s="11"/>
      <c r="AS581" s="11"/>
      <c r="AT581" s="20" t="str">
        <f>HYPERLINK("http://www.openstreetmap.org/?mlat=36.9758&amp;mlon=42.3466&amp;zoom=12#map=12/36.9758/42.3466","Maplink1")</f>
        <v>Maplink1</v>
      </c>
      <c r="AU581" s="20" t="str">
        <f>HYPERLINK("https://www.google.iq/maps/search/+36.9758,42.3466/@36.9758,42.3466,14z?hl=en","Maplink2")</f>
        <v>Maplink2</v>
      </c>
      <c r="AV581" s="20" t="str">
        <f>HYPERLINK("http://www.bing.com/maps/?lvl=14&amp;sty=h&amp;cp=36.9758~42.3466&amp;sp=point.36.9758_42.3466","Maplink3")</f>
        <v>Maplink3</v>
      </c>
    </row>
    <row r="582" spans="1:48" s="19" customFormat="1" x14ac:dyDescent="0.25">
      <c r="A582" s="9">
        <v>17580</v>
      </c>
      <c r="B582" s="10" t="s">
        <v>20</v>
      </c>
      <c r="C582" s="10" t="s">
        <v>1163</v>
      </c>
      <c r="D582" s="10" t="s">
        <v>1225</v>
      </c>
      <c r="E582" s="10" t="s">
        <v>1226</v>
      </c>
      <c r="F582" s="10">
        <v>36.595528020000003</v>
      </c>
      <c r="G582" s="10">
        <v>42.681642889999999</v>
      </c>
      <c r="H582" s="11">
        <v>340</v>
      </c>
      <c r="I582" s="11">
        <v>2040</v>
      </c>
      <c r="J582" s="11"/>
      <c r="K582" s="11"/>
      <c r="L582" s="11"/>
      <c r="M582" s="11"/>
      <c r="N582" s="11">
        <v>340</v>
      </c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>
        <v>340</v>
      </c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>
        <v>340</v>
      </c>
      <c r="AP582" s="11"/>
      <c r="AQ582" s="11"/>
      <c r="AR582" s="11"/>
      <c r="AS582" s="11"/>
      <c r="AT582" s="20" t="str">
        <f>HYPERLINK("http://www.openstreetmap.org/?mlat=36.5955&amp;mlon=42.6816&amp;zoom=12#map=12/36.5955/42.6816","Maplink1")</f>
        <v>Maplink1</v>
      </c>
      <c r="AU582" s="20" t="str">
        <f>HYPERLINK("https://www.google.iq/maps/search/+36.5955,42.6816/@36.5955,42.6816,14z?hl=en","Maplink2")</f>
        <v>Maplink2</v>
      </c>
      <c r="AV582" s="20" t="str">
        <f>HYPERLINK("http://www.bing.com/maps/?lvl=14&amp;sty=h&amp;cp=36.5955~42.6816&amp;sp=point.36.5955_42.6816","Maplink3")</f>
        <v>Maplink3</v>
      </c>
    </row>
    <row r="583" spans="1:48" s="19" customFormat="1" x14ac:dyDescent="0.25">
      <c r="A583" s="9">
        <v>22448</v>
      </c>
      <c r="B583" s="10" t="s">
        <v>20</v>
      </c>
      <c r="C583" s="10" t="s">
        <v>1163</v>
      </c>
      <c r="D583" s="10" t="s">
        <v>1227</v>
      </c>
      <c r="E583" s="10" t="s">
        <v>1228</v>
      </c>
      <c r="F583" s="10">
        <v>36.563875529999997</v>
      </c>
      <c r="G583" s="10">
        <v>42.572539570000004</v>
      </c>
      <c r="H583" s="11">
        <v>750</v>
      </c>
      <c r="I583" s="11">
        <v>4500</v>
      </c>
      <c r="J583" s="11"/>
      <c r="K583" s="11"/>
      <c r="L583" s="11"/>
      <c r="M583" s="11"/>
      <c r="N583" s="11">
        <v>700</v>
      </c>
      <c r="O583" s="11"/>
      <c r="P583" s="11"/>
      <c r="Q583" s="11"/>
      <c r="R583" s="11"/>
      <c r="S583" s="11"/>
      <c r="T583" s="11"/>
      <c r="U583" s="11"/>
      <c r="V583" s="11">
        <v>50</v>
      </c>
      <c r="W583" s="11"/>
      <c r="X583" s="11"/>
      <c r="Y583" s="11"/>
      <c r="Z583" s="11"/>
      <c r="AA583" s="11"/>
      <c r="AB583" s="11"/>
      <c r="AC583" s="11">
        <v>742</v>
      </c>
      <c r="AD583" s="11">
        <v>8</v>
      </c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>
        <v>750</v>
      </c>
      <c r="AP583" s="11"/>
      <c r="AQ583" s="11"/>
      <c r="AR583" s="11"/>
      <c r="AS583" s="11"/>
      <c r="AT583" s="20" t="str">
        <f>HYPERLINK("http://www.openstreetmap.org/?mlat=36.5639&amp;mlon=42.5725&amp;zoom=12#map=12/36.5639/42.5725","Maplink1")</f>
        <v>Maplink1</v>
      </c>
      <c r="AU583" s="20" t="str">
        <f>HYPERLINK("https://www.google.iq/maps/search/+36.5639,42.5725/@36.5639,42.5725,14z?hl=en","Maplink2")</f>
        <v>Maplink2</v>
      </c>
      <c r="AV583" s="20" t="str">
        <f>HYPERLINK("http://www.bing.com/maps/?lvl=14&amp;sty=h&amp;cp=36.5639~42.5725&amp;sp=point.36.5639_42.5725","Maplink3")</f>
        <v>Maplink3</v>
      </c>
    </row>
    <row r="584" spans="1:48" s="19" customFormat="1" x14ac:dyDescent="0.25">
      <c r="A584" s="9">
        <v>25692</v>
      </c>
      <c r="B584" s="10" t="s">
        <v>20</v>
      </c>
      <c r="C584" s="10" t="s">
        <v>1163</v>
      </c>
      <c r="D584" s="10" t="s">
        <v>1229</v>
      </c>
      <c r="E584" s="10" t="s">
        <v>1230</v>
      </c>
      <c r="F584" s="10">
        <v>36.546283000000003</v>
      </c>
      <c r="G584" s="10">
        <v>42.486888290000003</v>
      </c>
      <c r="H584" s="11">
        <v>1</v>
      </c>
      <c r="I584" s="11">
        <v>6</v>
      </c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>
        <v>1</v>
      </c>
      <c r="W584" s="11"/>
      <c r="X584" s="11"/>
      <c r="Y584" s="11"/>
      <c r="Z584" s="11"/>
      <c r="AA584" s="11"/>
      <c r="AB584" s="11"/>
      <c r="AC584" s="11">
        <v>1</v>
      </c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>
        <v>1</v>
      </c>
      <c r="AR584" s="11"/>
      <c r="AS584" s="11"/>
      <c r="AT584" s="20" t="str">
        <f>HYPERLINK("http://www.openstreetmap.org/?mlat=36.5463&amp;mlon=42.4869&amp;zoom=12#map=12/36.5463/42.4869","Maplink1")</f>
        <v>Maplink1</v>
      </c>
      <c r="AU584" s="20" t="str">
        <f>HYPERLINK("https://www.google.iq/maps/search/+36.5463,42.4869/@36.5463,42.4869,14z?hl=en","Maplink2")</f>
        <v>Maplink2</v>
      </c>
      <c r="AV584" s="20" t="str">
        <f>HYPERLINK("http://www.bing.com/maps/?lvl=14&amp;sty=h&amp;cp=36.5463~42.4869&amp;sp=point.36.5463_42.4869","Maplink3")</f>
        <v>Maplink3</v>
      </c>
    </row>
    <row r="585" spans="1:48" s="19" customFormat="1" x14ac:dyDescent="0.25">
      <c r="A585" s="9">
        <v>25693</v>
      </c>
      <c r="B585" s="10" t="s">
        <v>20</v>
      </c>
      <c r="C585" s="10" t="s">
        <v>1163</v>
      </c>
      <c r="D585" s="10" t="s">
        <v>1231</v>
      </c>
      <c r="E585" s="10" t="s">
        <v>1232</v>
      </c>
      <c r="F585" s="10">
        <v>36.546028059999998</v>
      </c>
      <c r="G585" s="10">
        <v>42.477345190000001</v>
      </c>
      <c r="H585" s="11">
        <v>49</v>
      </c>
      <c r="I585" s="11">
        <v>294</v>
      </c>
      <c r="J585" s="11"/>
      <c r="K585" s="11"/>
      <c r="L585" s="11"/>
      <c r="M585" s="11"/>
      <c r="N585" s="11">
        <v>49</v>
      </c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>
        <v>49</v>
      </c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>
        <v>49</v>
      </c>
      <c r="AP585" s="11"/>
      <c r="AQ585" s="11"/>
      <c r="AR585" s="11"/>
      <c r="AS585" s="11"/>
      <c r="AT585" s="20" t="str">
        <f>HYPERLINK("http://www.openstreetmap.org/?mlat=36.546&amp;mlon=42.4773&amp;zoom=12#map=12/36.546/42.4773","Maplink1")</f>
        <v>Maplink1</v>
      </c>
      <c r="AU585" s="20" t="str">
        <f>HYPERLINK("https://www.google.iq/maps/search/+36.546,42.4773/@36.546,42.4773,14z?hl=en","Maplink2")</f>
        <v>Maplink2</v>
      </c>
      <c r="AV585" s="20" t="str">
        <f>HYPERLINK("http://www.bing.com/maps/?lvl=14&amp;sty=h&amp;cp=36.546~42.4773&amp;sp=point.36.546_42.4773","Maplink3")</f>
        <v>Maplink3</v>
      </c>
    </row>
    <row r="586" spans="1:48" s="19" customFormat="1" x14ac:dyDescent="0.25">
      <c r="A586" s="9">
        <v>25694</v>
      </c>
      <c r="B586" s="10" t="s">
        <v>20</v>
      </c>
      <c r="C586" s="10" t="s">
        <v>1163</v>
      </c>
      <c r="D586" s="10" t="s">
        <v>1233</v>
      </c>
      <c r="E586" s="10" t="s">
        <v>1234</v>
      </c>
      <c r="F586" s="10">
        <v>36.548578999999997</v>
      </c>
      <c r="G586" s="10">
        <v>42.463979999999999</v>
      </c>
      <c r="H586" s="11">
        <v>15</v>
      </c>
      <c r="I586" s="11">
        <v>90</v>
      </c>
      <c r="J586" s="11"/>
      <c r="K586" s="11"/>
      <c r="L586" s="11"/>
      <c r="M586" s="11"/>
      <c r="N586" s="11">
        <v>10</v>
      </c>
      <c r="O586" s="11"/>
      <c r="P586" s="11"/>
      <c r="Q586" s="11"/>
      <c r="R586" s="11"/>
      <c r="S586" s="11"/>
      <c r="T586" s="11"/>
      <c r="U586" s="11"/>
      <c r="V586" s="11">
        <v>5</v>
      </c>
      <c r="W586" s="11"/>
      <c r="X586" s="11"/>
      <c r="Y586" s="11"/>
      <c r="Z586" s="11"/>
      <c r="AA586" s="11"/>
      <c r="AB586" s="11"/>
      <c r="AC586" s="11">
        <v>15</v>
      </c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>
        <v>15</v>
      </c>
      <c r="AP586" s="11"/>
      <c r="AQ586" s="11"/>
      <c r="AR586" s="11"/>
      <c r="AS586" s="11"/>
      <c r="AT586" s="20" t="str">
        <f>HYPERLINK("http://www.openstreetmap.org/?mlat=36.5486&amp;mlon=42.464&amp;zoom=12#map=12/36.5486/42.464","Maplink1")</f>
        <v>Maplink1</v>
      </c>
      <c r="AU586" s="20" t="str">
        <f>HYPERLINK("https://www.google.iq/maps/search/+36.5486,42.464/@36.5486,42.464,14z?hl=en","Maplink2")</f>
        <v>Maplink2</v>
      </c>
      <c r="AV586" s="20" t="str">
        <f>HYPERLINK("http://www.bing.com/maps/?lvl=14&amp;sty=h&amp;cp=36.5486~42.464&amp;sp=point.36.5486_42.464","Maplink3")</f>
        <v>Maplink3</v>
      </c>
    </row>
    <row r="587" spans="1:48" s="19" customFormat="1" x14ac:dyDescent="0.25">
      <c r="A587" s="9">
        <v>17669</v>
      </c>
      <c r="B587" s="10" t="s">
        <v>20</v>
      </c>
      <c r="C587" s="10" t="s">
        <v>1163</v>
      </c>
      <c r="D587" s="10" t="s">
        <v>1235</v>
      </c>
      <c r="E587" s="10" t="s">
        <v>1236</v>
      </c>
      <c r="F587" s="10">
        <v>36.902262</v>
      </c>
      <c r="G587" s="10">
        <v>42.395274000000001</v>
      </c>
      <c r="H587" s="11">
        <v>50</v>
      </c>
      <c r="I587" s="11">
        <v>300</v>
      </c>
      <c r="J587" s="11"/>
      <c r="K587" s="11"/>
      <c r="L587" s="11"/>
      <c r="M587" s="11"/>
      <c r="N587" s="11">
        <v>50</v>
      </c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>
        <v>50</v>
      </c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>
        <v>50</v>
      </c>
      <c r="AP587" s="11"/>
      <c r="AQ587" s="11"/>
      <c r="AR587" s="11"/>
      <c r="AS587" s="11"/>
      <c r="AT587" s="20" t="str">
        <f>HYPERLINK("http://www.openstreetmap.org/?mlat=36.9023&amp;mlon=42.3953&amp;zoom=12#map=12/36.9023/42.3953","Maplink1")</f>
        <v>Maplink1</v>
      </c>
      <c r="AU587" s="20" t="str">
        <f>HYPERLINK("https://www.google.iq/maps/search/+36.9023,42.3953/@36.9023,42.3953,14z?hl=en","Maplink2")</f>
        <v>Maplink2</v>
      </c>
      <c r="AV587" s="20" t="str">
        <f>HYPERLINK("http://www.bing.com/maps/?lvl=14&amp;sty=h&amp;cp=36.9023~42.3953&amp;sp=point.36.9023_42.3953","Maplink3")</f>
        <v>Maplink3</v>
      </c>
    </row>
    <row r="588" spans="1:48" s="19" customFormat="1" x14ac:dyDescent="0.25">
      <c r="A588" s="9">
        <v>28451</v>
      </c>
      <c r="B588" s="10" t="s">
        <v>20</v>
      </c>
      <c r="C588" s="10" t="s">
        <v>1163</v>
      </c>
      <c r="D588" s="10" t="s">
        <v>1237</v>
      </c>
      <c r="E588" s="10" t="s">
        <v>1238</v>
      </c>
      <c r="F588" s="10">
        <v>36.729982</v>
      </c>
      <c r="G588" s="10">
        <v>42.389882</v>
      </c>
      <c r="H588" s="11">
        <v>394</v>
      </c>
      <c r="I588" s="11">
        <v>2364</v>
      </c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>
        <v>394</v>
      </c>
      <c r="W588" s="11"/>
      <c r="X588" s="11"/>
      <c r="Y588" s="11"/>
      <c r="Z588" s="11"/>
      <c r="AA588" s="11"/>
      <c r="AB588" s="11"/>
      <c r="AC588" s="11">
        <v>394</v>
      </c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>
        <v>394</v>
      </c>
      <c r="AP588" s="11"/>
      <c r="AQ588" s="11"/>
      <c r="AR588" s="11"/>
      <c r="AS588" s="11"/>
      <c r="AT588" s="20" t="str">
        <f>HYPERLINK("http://www.openstreetmap.org/?mlat=36.73&amp;mlon=42.3899&amp;zoom=12#map=12/36.73/42.3899","Maplink1")</f>
        <v>Maplink1</v>
      </c>
      <c r="AU588" s="20" t="str">
        <f>HYPERLINK("https://www.google.iq/maps/search/+36.73,42.3899/@36.73,42.3899,14z?hl=en","Maplink2")</f>
        <v>Maplink2</v>
      </c>
      <c r="AV588" s="20" t="str">
        <f>HYPERLINK("http://www.bing.com/maps/?lvl=14&amp;sty=h&amp;cp=36.73~42.3899&amp;sp=point.36.73_42.3899","Maplink3")</f>
        <v>Maplink3</v>
      </c>
    </row>
    <row r="589" spans="1:48" s="19" customFormat="1" x14ac:dyDescent="0.25">
      <c r="A589" s="9">
        <v>17665</v>
      </c>
      <c r="B589" s="10" t="s">
        <v>20</v>
      </c>
      <c r="C589" s="10" t="s">
        <v>1163</v>
      </c>
      <c r="D589" s="10" t="s">
        <v>1239</v>
      </c>
      <c r="E589" s="10" t="s">
        <v>1240</v>
      </c>
      <c r="F589" s="10">
        <v>36.843954607800001</v>
      </c>
      <c r="G589" s="10">
        <v>42.360521645699997</v>
      </c>
      <c r="H589" s="11">
        <v>145</v>
      </c>
      <c r="I589" s="11">
        <v>870</v>
      </c>
      <c r="J589" s="11"/>
      <c r="K589" s="11"/>
      <c r="L589" s="11"/>
      <c r="M589" s="11"/>
      <c r="N589" s="11">
        <v>145</v>
      </c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>
        <v>145</v>
      </c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>
        <v>145</v>
      </c>
      <c r="AP589" s="11"/>
      <c r="AQ589" s="11"/>
      <c r="AR589" s="11"/>
      <c r="AS589" s="11"/>
      <c r="AT589" s="20" t="str">
        <f>HYPERLINK("http://www.openstreetmap.org/?mlat=36.844&amp;mlon=42.3605&amp;zoom=12#map=12/36.844/42.3605","Maplink1")</f>
        <v>Maplink1</v>
      </c>
      <c r="AU589" s="20" t="str">
        <f>HYPERLINK("https://www.google.iq/maps/search/+36.844,42.3605/@36.844,42.3605,14z?hl=en","Maplink2")</f>
        <v>Maplink2</v>
      </c>
      <c r="AV589" s="20" t="str">
        <f>HYPERLINK("http://www.bing.com/maps/?lvl=14&amp;sty=h&amp;cp=36.844~42.3605&amp;sp=point.36.844_42.3605","Maplink3")</f>
        <v>Maplink3</v>
      </c>
    </row>
    <row r="590" spans="1:48" s="19" customFormat="1" x14ac:dyDescent="0.25">
      <c r="A590" s="9">
        <v>25695</v>
      </c>
      <c r="B590" s="10" t="s">
        <v>20</v>
      </c>
      <c r="C590" s="10" t="s">
        <v>1163</v>
      </c>
      <c r="D590" s="10" t="s">
        <v>1241</v>
      </c>
      <c r="E590" s="10" t="s">
        <v>1242</v>
      </c>
      <c r="F590" s="10">
        <v>36.685932999999999</v>
      </c>
      <c r="G590" s="10">
        <v>42.598467999999997</v>
      </c>
      <c r="H590" s="11">
        <v>875</v>
      </c>
      <c r="I590" s="11">
        <v>5250</v>
      </c>
      <c r="J590" s="11"/>
      <c r="K590" s="11"/>
      <c r="L590" s="11"/>
      <c r="M590" s="11"/>
      <c r="N590" s="11">
        <v>875</v>
      </c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>
        <v>825</v>
      </c>
      <c r="AD590" s="11">
        <v>50</v>
      </c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>
        <v>875</v>
      </c>
      <c r="AP590" s="11"/>
      <c r="AQ590" s="11"/>
      <c r="AR590" s="11"/>
      <c r="AS590" s="11"/>
      <c r="AT590" s="20" t="str">
        <f>HYPERLINK("http://www.openstreetmap.org/?mlat=36.6859&amp;mlon=42.5985&amp;zoom=12#map=12/36.6859/42.5985","Maplink1")</f>
        <v>Maplink1</v>
      </c>
      <c r="AU590" s="20" t="str">
        <f>HYPERLINK("https://www.google.iq/maps/search/+36.6859,42.5985/@36.6859,42.5985,14z?hl=en","Maplink2")</f>
        <v>Maplink2</v>
      </c>
      <c r="AV590" s="20" t="str">
        <f>HYPERLINK("http://www.bing.com/maps/?lvl=14&amp;sty=h&amp;cp=36.6859~42.5985&amp;sp=point.36.6859_42.5985","Maplink3")</f>
        <v>Maplink3</v>
      </c>
    </row>
    <row r="591" spans="1:48" s="19" customFormat="1" x14ac:dyDescent="0.25">
      <c r="A591" s="9">
        <v>17663</v>
      </c>
      <c r="B591" s="10" t="s">
        <v>20</v>
      </c>
      <c r="C591" s="10" t="s">
        <v>1163</v>
      </c>
      <c r="D591" s="10" t="s">
        <v>1243</v>
      </c>
      <c r="E591" s="10" t="s">
        <v>1244</v>
      </c>
      <c r="F591" s="10">
        <v>36.813149189999997</v>
      </c>
      <c r="G591" s="10">
        <v>42.263304830000003</v>
      </c>
      <c r="H591" s="11">
        <v>71</v>
      </c>
      <c r="I591" s="11">
        <v>426</v>
      </c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>
        <v>71</v>
      </c>
      <c r="W591" s="11"/>
      <c r="X591" s="11"/>
      <c r="Y591" s="11"/>
      <c r="Z591" s="11"/>
      <c r="AA591" s="11"/>
      <c r="AB591" s="11"/>
      <c r="AC591" s="11">
        <v>71</v>
      </c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>
        <v>68</v>
      </c>
      <c r="AP591" s="11"/>
      <c r="AQ591" s="11"/>
      <c r="AR591" s="11">
        <v>3</v>
      </c>
      <c r="AS591" s="11"/>
      <c r="AT591" s="20" t="str">
        <f>HYPERLINK("http://www.openstreetmap.org/?mlat=36.8131&amp;mlon=42.2633&amp;zoom=12#map=12/36.8131/42.2633","Maplink1")</f>
        <v>Maplink1</v>
      </c>
      <c r="AU591" s="20" t="str">
        <f>HYPERLINK("https://www.google.iq/maps/search/+36.8131,42.2633/@36.8131,42.2633,14z?hl=en","Maplink2")</f>
        <v>Maplink2</v>
      </c>
      <c r="AV591" s="20" t="str">
        <f>HYPERLINK("http://www.bing.com/maps/?lvl=14&amp;sty=h&amp;cp=36.8131~42.2633&amp;sp=point.36.8131_42.2633","Maplink3")</f>
        <v>Maplink3</v>
      </c>
    </row>
    <row r="592" spans="1:48" s="19" customFormat="1" x14ac:dyDescent="0.25">
      <c r="A592" s="9">
        <v>25893</v>
      </c>
      <c r="B592" s="10" t="s">
        <v>20</v>
      </c>
      <c r="C592" s="10" t="s">
        <v>1163</v>
      </c>
      <c r="D592" s="10" t="s">
        <v>1245</v>
      </c>
      <c r="E592" s="10" t="s">
        <v>1246</v>
      </c>
      <c r="F592" s="10">
        <v>36.762185049999999</v>
      </c>
      <c r="G592" s="10">
        <v>42.064760419999999</v>
      </c>
      <c r="H592" s="11">
        <v>342</v>
      </c>
      <c r="I592" s="11">
        <v>2052</v>
      </c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>
        <v>342</v>
      </c>
      <c r="W592" s="11"/>
      <c r="X592" s="11"/>
      <c r="Y592" s="11"/>
      <c r="Z592" s="11"/>
      <c r="AA592" s="11"/>
      <c r="AB592" s="11"/>
      <c r="AC592" s="11">
        <v>342</v>
      </c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>
        <v>342</v>
      </c>
      <c r="AP592" s="11"/>
      <c r="AQ592" s="11"/>
      <c r="AR592" s="11"/>
      <c r="AS592" s="11"/>
      <c r="AT592" s="20" t="str">
        <f>HYPERLINK("http://www.openstreetmap.org/?mlat=36.7622&amp;mlon=42.0648&amp;zoom=12#map=12/36.7622/42.0648","Maplink1")</f>
        <v>Maplink1</v>
      </c>
      <c r="AU592" s="20" t="str">
        <f>HYPERLINK("https://www.google.iq/maps/search/+36.7622,42.0648/@36.7622,42.0648,14z?hl=en","Maplink2")</f>
        <v>Maplink2</v>
      </c>
      <c r="AV592" s="20" t="str">
        <f>HYPERLINK("http://www.bing.com/maps/?lvl=14&amp;sty=h&amp;cp=36.7622~42.0648&amp;sp=point.36.7622_42.0648","Maplink3")</f>
        <v>Maplink3</v>
      </c>
    </row>
    <row r="593" spans="1:48" s="19" customFormat="1" x14ac:dyDescent="0.25">
      <c r="A593" s="9">
        <v>27352</v>
      </c>
      <c r="B593" s="10" t="s">
        <v>20</v>
      </c>
      <c r="C593" s="10" t="s">
        <v>1163</v>
      </c>
      <c r="D593" s="10" t="s">
        <v>1247</v>
      </c>
      <c r="E593" s="10" t="s">
        <v>1248</v>
      </c>
      <c r="F593" s="10">
        <v>36.931713037599998</v>
      </c>
      <c r="G593" s="10">
        <v>42.360318305200003</v>
      </c>
      <c r="H593" s="11">
        <v>85</v>
      </c>
      <c r="I593" s="11">
        <v>510</v>
      </c>
      <c r="J593" s="11"/>
      <c r="K593" s="11"/>
      <c r="L593" s="11"/>
      <c r="M593" s="11"/>
      <c r="N593" s="11">
        <v>85</v>
      </c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>
        <v>85</v>
      </c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>
        <v>85</v>
      </c>
      <c r="AP593" s="11"/>
      <c r="AQ593" s="11"/>
      <c r="AR593" s="11"/>
      <c r="AS593" s="11"/>
      <c r="AT593" s="20" t="str">
        <f>HYPERLINK("http://www.openstreetmap.org/?mlat=36.9317&amp;mlon=42.3603&amp;zoom=12#map=12/36.9317/42.3603","Maplink1")</f>
        <v>Maplink1</v>
      </c>
      <c r="AU593" s="20" t="str">
        <f>HYPERLINK("https://www.google.iq/maps/search/+36.9317,42.3603/@36.9317,42.3603,14z?hl=en","Maplink2")</f>
        <v>Maplink2</v>
      </c>
      <c r="AV593" s="20" t="str">
        <f>HYPERLINK("http://www.bing.com/maps/?lvl=14&amp;sty=h&amp;cp=36.9317~42.3603&amp;sp=point.36.9317_42.3603","Maplink3")</f>
        <v>Maplink3</v>
      </c>
    </row>
    <row r="594" spans="1:48" s="19" customFormat="1" x14ac:dyDescent="0.25">
      <c r="A594" s="9">
        <v>22799</v>
      </c>
      <c r="B594" s="10" t="s">
        <v>20</v>
      </c>
      <c r="C594" s="10" t="s">
        <v>1163</v>
      </c>
      <c r="D594" s="10" t="s">
        <v>1249</v>
      </c>
      <c r="E594" s="10" t="s">
        <v>1250</v>
      </c>
      <c r="F594" s="10">
        <v>36.593777789999997</v>
      </c>
      <c r="G594" s="10">
        <v>42.525742289999997</v>
      </c>
      <c r="H594" s="11">
        <v>207</v>
      </c>
      <c r="I594" s="11">
        <v>1242</v>
      </c>
      <c r="J594" s="11"/>
      <c r="K594" s="11"/>
      <c r="L594" s="11"/>
      <c r="M594" s="11"/>
      <c r="N594" s="11">
        <v>207</v>
      </c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>
        <v>202</v>
      </c>
      <c r="AD594" s="11">
        <v>5</v>
      </c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>
        <v>207</v>
      </c>
      <c r="AP594" s="11"/>
      <c r="AQ594" s="11"/>
      <c r="AR594" s="11"/>
      <c r="AS594" s="11"/>
      <c r="AT594" s="20" t="str">
        <f>HYPERLINK("http://www.openstreetmap.org/?mlat=36.5938&amp;mlon=42.5257&amp;zoom=12#map=12/36.5938/42.5257","Maplink1")</f>
        <v>Maplink1</v>
      </c>
      <c r="AU594" s="20" t="str">
        <f>HYPERLINK("https://www.google.iq/maps/search/+36.5938,42.5257/@36.5938,42.5257,14z?hl=en","Maplink2")</f>
        <v>Maplink2</v>
      </c>
      <c r="AV594" s="20" t="str">
        <f>HYPERLINK("http://www.bing.com/maps/?lvl=14&amp;sty=h&amp;cp=36.5938~42.5257&amp;sp=point.36.5938_42.5257","Maplink3")</f>
        <v>Maplink3</v>
      </c>
    </row>
    <row r="595" spans="1:48" s="19" customFormat="1" x14ac:dyDescent="0.25">
      <c r="A595" s="9">
        <v>25704</v>
      </c>
      <c r="B595" s="10" t="s">
        <v>20</v>
      </c>
      <c r="C595" s="10" t="s">
        <v>1163</v>
      </c>
      <c r="D595" s="10" t="s">
        <v>1251</v>
      </c>
      <c r="E595" s="10" t="s">
        <v>1252</v>
      </c>
      <c r="F595" s="10">
        <v>36.609332790000003</v>
      </c>
      <c r="G595" s="10">
        <v>42.537091240000002</v>
      </c>
      <c r="H595" s="11">
        <v>190</v>
      </c>
      <c r="I595" s="11">
        <v>1140</v>
      </c>
      <c r="J595" s="11"/>
      <c r="K595" s="11"/>
      <c r="L595" s="11"/>
      <c r="M595" s="11"/>
      <c r="N595" s="11">
        <v>190</v>
      </c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>
        <v>179</v>
      </c>
      <c r="AD595" s="11">
        <v>11</v>
      </c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>
        <v>190</v>
      </c>
      <c r="AP595" s="11"/>
      <c r="AQ595" s="11"/>
      <c r="AR595" s="11"/>
      <c r="AS595" s="11"/>
      <c r="AT595" s="20" t="str">
        <f>HYPERLINK("http://www.openstreetmap.org/?mlat=36.6093&amp;mlon=42.5371&amp;zoom=12#map=12/36.6093/42.5371","Maplink1")</f>
        <v>Maplink1</v>
      </c>
      <c r="AU595" s="20" t="str">
        <f>HYPERLINK("https://www.google.iq/maps/search/+36.6093,42.5371/@36.6093,42.5371,14z?hl=en","Maplink2")</f>
        <v>Maplink2</v>
      </c>
      <c r="AV595" s="20" t="str">
        <f>HYPERLINK("http://www.bing.com/maps/?lvl=14&amp;sty=h&amp;cp=36.6093~42.5371&amp;sp=point.36.6093_42.5371","Maplink3")</f>
        <v>Maplink3</v>
      </c>
    </row>
    <row r="596" spans="1:48" s="19" customFormat="1" x14ac:dyDescent="0.25">
      <c r="A596" s="9">
        <v>25944</v>
      </c>
      <c r="B596" s="10" t="s">
        <v>20</v>
      </c>
      <c r="C596" s="10" t="s">
        <v>1163</v>
      </c>
      <c r="D596" s="10" t="s">
        <v>1253</v>
      </c>
      <c r="E596" s="10" t="s">
        <v>1254</v>
      </c>
      <c r="F596" s="10">
        <v>36.653372740000002</v>
      </c>
      <c r="G596" s="10">
        <v>42.596476299999999</v>
      </c>
      <c r="H596" s="11">
        <v>1002</v>
      </c>
      <c r="I596" s="11">
        <v>6012</v>
      </c>
      <c r="J596" s="11"/>
      <c r="K596" s="11"/>
      <c r="L596" s="11"/>
      <c r="M596" s="11"/>
      <c r="N596" s="11">
        <v>950</v>
      </c>
      <c r="O596" s="11"/>
      <c r="P596" s="11"/>
      <c r="Q596" s="11"/>
      <c r="R596" s="11"/>
      <c r="S596" s="11"/>
      <c r="T596" s="11"/>
      <c r="U596" s="11"/>
      <c r="V596" s="11">
        <v>52</v>
      </c>
      <c r="W596" s="11"/>
      <c r="X596" s="11"/>
      <c r="Y596" s="11"/>
      <c r="Z596" s="11"/>
      <c r="AA596" s="11"/>
      <c r="AB596" s="11"/>
      <c r="AC596" s="11">
        <v>1002</v>
      </c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>
        <v>1002</v>
      </c>
      <c r="AP596" s="11"/>
      <c r="AQ596" s="11"/>
      <c r="AR596" s="11"/>
      <c r="AS596" s="11"/>
      <c r="AT596" s="20" t="str">
        <f>HYPERLINK("http://www.openstreetmap.org/?mlat=36.6534&amp;mlon=42.5965&amp;zoom=12#map=12/36.6534/42.5965","Maplink1")</f>
        <v>Maplink1</v>
      </c>
      <c r="AU596" s="20" t="str">
        <f>HYPERLINK("https://www.google.iq/maps/search/+36.6534,42.5965/@36.6534,42.5965,14z?hl=en","Maplink2")</f>
        <v>Maplink2</v>
      </c>
      <c r="AV596" s="20" t="str">
        <f>HYPERLINK("http://www.bing.com/maps/?lvl=14&amp;sty=h&amp;cp=36.6534~42.5965&amp;sp=point.36.6534_42.5965","Maplink3")</f>
        <v>Maplink3</v>
      </c>
    </row>
    <row r="597" spans="1:48" s="19" customFormat="1" x14ac:dyDescent="0.25">
      <c r="A597" s="9">
        <v>17617</v>
      </c>
      <c r="B597" s="10" t="s">
        <v>20</v>
      </c>
      <c r="C597" s="10" t="s">
        <v>1163</v>
      </c>
      <c r="D597" s="10" t="s">
        <v>1255</v>
      </c>
      <c r="E597" s="10" t="s">
        <v>1256</v>
      </c>
      <c r="F597" s="10">
        <v>36.553422820000002</v>
      </c>
      <c r="G597" s="10">
        <v>42.512018419999997</v>
      </c>
      <c r="H597" s="11">
        <v>750</v>
      </c>
      <c r="I597" s="11">
        <v>4500</v>
      </c>
      <c r="J597" s="11"/>
      <c r="K597" s="11"/>
      <c r="L597" s="11"/>
      <c r="M597" s="11"/>
      <c r="N597" s="11">
        <v>700</v>
      </c>
      <c r="O597" s="11"/>
      <c r="P597" s="11"/>
      <c r="Q597" s="11"/>
      <c r="R597" s="11"/>
      <c r="S597" s="11"/>
      <c r="T597" s="11"/>
      <c r="U597" s="11"/>
      <c r="V597" s="11">
        <v>50</v>
      </c>
      <c r="W597" s="11"/>
      <c r="X597" s="11"/>
      <c r="Y597" s="11"/>
      <c r="Z597" s="11"/>
      <c r="AA597" s="11"/>
      <c r="AB597" s="11"/>
      <c r="AC597" s="11">
        <v>735</v>
      </c>
      <c r="AD597" s="11">
        <v>15</v>
      </c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>
        <v>750</v>
      </c>
      <c r="AP597" s="11"/>
      <c r="AQ597" s="11"/>
      <c r="AR597" s="11"/>
      <c r="AS597" s="11"/>
      <c r="AT597" s="20" t="str">
        <f>HYPERLINK("http://www.openstreetmap.org/?mlat=36.5534&amp;mlon=42.512&amp;zoom=12#map=12/36.5534/42.512","Maplink1")</f>
        <v>Maplink1</v>
      </c>
      <c r="AU597" s="20" t="str">
        <f>HYPERLINK("https://www.google.iq/maps/search/+36.5534,42.512/@36.5534,42.512,14z?hl=en","Maplink2")</f>
        <v>Maplink2</v>
      </c>
      <c r="AV597" s="20" t="str">
        <f>HYPERLINK("http://www.bing.com/maps/?lvl=14&amp;sty=h&amp;cp=36.5534~42.512&amp;sp=point.36.5534_42.512","Maplink3")</f>
        <v>Maplink3</v>
      </c>
    </row>
    <row r="598" spans="1:48" s="19" customFormat="1" x14ac:dyDescent="0.25">
      <c r="A598" s="9">
        <v>25689</v>
      </c>
      <c r="B598" s="10" t="s">
        <v>20</v>
      </c>
      <c r="C598" s="10" t="s">
        <v>1163</v>
      </c>
      <c r="D598" s="10" t="s">
        <v>1257</v>
      </c>
      <c r="E598" s="10" t="s">
        <v>1258</v>
      </c>
      <c r="F598" s="10">
        <v>36.578457929999999</v>
      </c>
      <c r="G598" s="10">
        <v>42.644869739999997</v>
      </c>
      <c r="H598" s="11">
        <v>57</v>
      </c>
      <c r="I598" s="11">
        <v>342</v>
      </c>
      <c r="J598" s="11"/>
      <c r="K598" s="11"/>
      <c r="L598" s="11"/>
      <c r="M598" s="11"/>
      <c r="N598" s="11">
        <v>57</v>
      </c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>
        <v>57</v>
      </c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>
        <v>57</v>
      </c>
      <c r="AP598" s="11"/>
      <c r="AQ598" s="11"/>
      <c r="AR598" s="11"/>
      <c r="AS598" s="11"/>
      <c r="AT598" s="20" t="str">
        <f>HYPERLINK("http://www.openstreetmap.org/?mlat=36.5785&amp;mlon=42.6449&amp;zoom=12#map=12/36.5785/42.6449","Maplink1")</f>
        <v>Maplink1</v>
      </c>
      <c r="AU598" s="20" t="str">
        <f>HYPERLINK("https://www.google.iq/maps/search/+36.5785,42.6449/@36.5785,42.6449,14z?hl=en","Maplink2")</f>
        <v>Maplink2</v>
      </c>
      <c r="AV598" s="20" t="str">
        <f>HYPERLINK("http://www.bing.com/maps/?lvl=14&amp;sty=h&amp;cp=36.5785~42.6449&amp;sp=point.36.5785_42.6449","Maplink3")</f>
        <v>Maplink3</v>
      </c>
    </row>
    <row r="599" spans="1:48" s="19" customFormat="1" x14ac:dyDescent="0.25">
      <c r="A599" s="9">
        <v>23648</v>
      </c>
      <c r="B599" s="10" t="s">
        <v>20</v>
      </c>
      <c r="C599" s="10" t="s">
        <v>1163</v>
      </c>
      <c r="D599" s="10" t="s">
        <v>1259</v>
      </c>
      <c r="E599" s="10" t="s">
        <v>1260</v>
      </c>
      <c r="F599" s="10">
        <v>37.013250499999998</v>
      </c>
      <c r="G599" s="10">
        <v>42.34194814</v>
      </c>
      <c r="H599" s="11">
        <v>210</v>
      </c>
      <c r="I599" s="11">
        <v>1260</v>
      </c>
      <c r="J599" s="11"/>
      <c r="K599" s="11"/>
      <c r="L599" s="11"/>
      <c r="M599" s="11"/>
      <c r="N599" s="11">
        <v>210</v>
      </c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>
        <v>210</v>
      </c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>
        <v>210</v>
      </c>
      <c r="AP599" s="11"/>
      <c r="AQ599" s="11"/>
      <c r="AR599" s="11"/>
      <c r="AS599" s="11"/>
      <c r="AT599" s="20" t="str">
        <f>HYPERLINK("http://www.openstreetmap.org/?mlat=37.0133&amp;mlon=42.3419&amp;zoom=12#map=12/37.0133/42.3419","Maplink1")</f>
        <v>Maplink1</v>
      </c>
      <c r="AU599" s="20" t="str">
        <f>HYPERLINK("https://www.google.iq/maps/search/+37.0133,42.3419/@37.0133,42.3419,14z?hl=en","Maplink2")</f>
        <v>Maplink2</v>
      </c>
      <c r="AV599" s="20" t="str">
        <f>HYPERLINK("http://www.bing.com/maps/?lvl=14&amp;sty=h&amp;cp=37.0133~42.3419&amp;sp=point.37.0133_42.3419","Maplink3")</f>
        <v>Maplink3</v>
      </c>
    </row>
    <row r="600" spans="1:48" s="19" customFormat="1" x14ac:dyDescent="0.25">
      <c r="A600" s="9">
        <v>28452</v>
      </c>
      <c r="B600" s="10" t="s">
        <v>20</v>
      </c>
      <c r="C600" s="10" t="s">
        <v>1163</v>
      </c>
      <c r="D600" s="10" t="s">
        <v>1261</v>
      </c>
      <c r="E600" s="10" t="s">
        <v>1262</v>
      </c>
      <c r="F600" s="10">
        <v>36.742294729999998</v>
      </c>
      <c r="G600" s="10">
        <v>42.084245680000002</v>
      </c>
      <c r="H600" s="11">
        <v>32</v>
      </c>
      <c r="I600" s="11">
        <v>192</v>
      </c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>
        <v>32</v>
      </c>
      <c r="W600" s="11"/>
      <c r="X600" s="11"/>
      <c r="Y600" s="11"/>
      <c r="Z600" s="11"/>
      <c r="AA600" s="11"/>
      <c r="AB600" s="11"/>
      <c r="AC600" s="11">
        <v>32</v>
      </c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>
        <v>32</v>
      </c>
      <c r="AQ600" s="11"/>
      <c r="AR600" s="11"/>
      <c r="AS600" s="11"/>
      <c r="AT600" s="20" t="str">
        <f>HYPERLINK("http://www.openstreetmap.org/?mlat=36.7423&amp;mlon=42.0842&amp;zoom=12#map=12/36.7423/42.0842","Maplink1")</f>
        <v>Maplink1</v>
      </c>
      <c r="AU600" s="20" t="str">
        <f>HYPERLINK("https://www.google.iq/maps/search/+36.7423,42.0842/@36.7423,42.0842,14z?hl=en","Maplink2")</f>
        <v>Maplink2</v>
      </c>
      <c r="AV600" s="20" t="str">
        <f>HYPERLINK("http://www.bing.com/maps/?lvl=14&amp;sty=h&amp;cp=36.7423~42.0842&amp;sp=point.36.7423_42.0842","Maplink3")</f>
        <v>Maplink3</v>
      </c>
    </row>
    <row r="601" spans="1:48" s="19" customFormat="1" x14ac:dyDescent="0.25">
      <c r="A601" s="9">
        <v>17932</v>
      </c>
      <c r="B601" s="10" t="s">
        <v>20</v>
      </c>
      <c r="C601" s="10" t="s">
        <v>1163</v>
      </c>
      <c r="D601" s="10" t="s">
        <v>1263</v>
      </c>
      <c r="E601" s="10" t="s">
        <v>1264</v>
      </c>
      <c r="F601" s="10">
        <v>36.539803599999999</v>
      </c>
      <c r="G601" s="10">
        <v>42.746068549999997</v>
      </c>
      <c r="H601" s="11">
        <v>10</v>
      </c>
      <c r="I601" s="11">
        <v>60</v>
      </c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>
        <v>10</v>
      </c>
      <c r="V601" s="11"/>
      <c r="W601" s="11"/>
      <c r="X601" s="11"/>
      <c r="Y601" s="11"/>
      <c r="Z601" s="11"/>
      <c r="AA601" s="11"/>
      <c r="AB601" s="11"/>
      <c r="AC601" s="11">
        <v>10</v>
      </c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>
        <v>10</v>
      </c>
      <c r="AR601" s="11"/>
      <c r="AS601" s="11"/>
      <c r="AT601" s="20" t="str">
        <f>HYPERLINK("http://www.openstreetmap.org/?mlat=36.5398&amp;mlon=42.7461&amp;zoom=12#map=12/36.5398/42.7461","Maplink1")</f>
        <v>Maplink1</v>
      </c>
      <c r="AU601" s="20" t="str">
        <f>HYPERLINK("https://www.google.iq/maps/search/+36.5398,42.7461/@36.5398,42.7461,14z?hl=en","Maplink2")</f>
        <v>Maplink2</v>
      </c>
      <c r="AV601" s="20" t="str">
        <f>HYPERLINK("http://www.bing.com/maps/?lvl=14&amp;sty=h&amp;cp=36.5398~42.7461&amp;sp=point.36.5398_42.7461","Maplink3")</f>
        <v>Maplink3</v>
      </c>
    </row>
    <row r="602" spans="1:48" s="19" customFormat="1" x14ac:dyDescent="0.25">
      <c r="A602" s="9">
        <v>17814</v>
      </c>
      <c r="B602" s="10" t="s">
        <v>20</v>
      </c>
      <c r="C602" s="10" t="s">
        <v>1163</v>
      </c>
      <c r="D602" s="10" t="s">
        <v>1265</v>
      </c>
      <c r="E602" s="10" t="s">
        <v>1266</v>
      </c>
      <c r="F602" s="10">
        <v>36.748451090000003</v>
      </c>
      <c r="G602" s="10">
        <v>42.304420919999998</v>
      </c>
      <c r="H602" s="11">
        <v>452</v>
      </c>
      <c r="I602" s="11">
        <v>2712</v>
      </c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>
        <v>452</v>
      </c>
      <c r="W602" s="11"/>
      <c r="X602" s="11"/>
      <c r="Y602" s="11"/>
      <c r="Z602" s="11"/>
      <c r="AA602" s="11"/>
      <c r="AB602" s="11"/>
      <c r="AC602" s="11">
        <v>452</v>
      </c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>
        <v>452</v>
      </c>
      <c r="AP602" s="11"/>
      <c r="AQ602" s="11"/>
      <c r="AR602" s="11"/>
      <c r="AS602" s="11"/>
      <c r="AT602" s="20" t="str">
        <f>HYPERLINK("http://www.openstreetmap.org/?mlat=36.7485&amp;mlon=42.3044&amp;zoom=12#map=12/36.7485/42.3044","Maplink1")</f>
        <v>Maplink1</v>
      </c>
      <c r="AU602" s="20" t="str">
        <f>HYPERLINK("https://www.google.iq/maps/search/+36.7485,42.3044/@36.7485,42.3044,14z?hl=en","Maplink2")</f>
        <v>Maplink2</v>
      </c>
      <c r="AV602" s="20" t="str">
        <f>HYPERLINK("http://www.bing.com/maps/?lvl=14&amp;sty=h&amp;cp=36.7485~42.3044&amp;sp=point.36.7485_42.3044","Maplink3")</f>
        <v>Maplink3</v>
      </c>
    </row>
    <row r="603" spans="1:48" s="19" customFormat="1" x14ac:dyDescent="0.25">
      <c r="A603" s="9">
        <v>28438</v>
      </c>
      <c r="B603" s="10" t="s">
        <v>20</v>
      </c>
      <c r="C603" s="10" t="s">
        <v>1163</v>
      </c>
      <c r="D603" s="10" t="s">
        <v>1267</v>
      </c>
      <c r="E603" s="10" t="s">
        <v>1268</v>
      </c>
      <c r="F603" s="10">
        <v>36.791082357900002</v>
      </c>
      <c r="G603" s="10">
        <v>42.174688855100001</v>
      </c>
      <c r="H603" s="11">
        <v>282</v>
      </c>
      <c r="I603" s="11">
        <v>1692</v>
      </c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>
        <v>282</v>
      </c>
      <c r="W603" s="11"/>
      <c r="X603" s="11"/>
      <c r="Y603" s="11"/>
      <c r="Z603" s="11"/>
      <c r="AA603" s="11"/>
      <c r="AB603" s="11"/>
      <c r="AC603" s="11">
        <v>282</v>
      </c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>
        <v>282</v>
      </c>
      <c r="AP603" s="11"/>
      <c r="AQ603" s="11"/>
      <c r="AR603" s="11"/>
      <c r="AS603" s="11"/>
      <c r="AT603" s="20" t="str">
        <f>HYPERLINK("http://www.openstreetmap.org/?mlat=36.7911&amp;mlon=42.1747&amp;zoom=12#map=12/36.7911/42.1747","Maplink1")</f>
        <v>Maplink1</v>
      </c>
      <c r="AU603" s="20" t="str">
        <f>HYPERLINK("https://www.google.iq/maps/search/+36.7911,42.1747/@36.7911,42.1747,14z?hl=en","Maplink2")</f>
        <v>Maplink2</v>
      </c>
      <c r="AV603" s="20" t="str">
        <f>HYPERLINK("http://www.bing.com/maps/?lvl=14&amp;sty=h&amp;cp=36.7911~42.1747&amp;sp=point.36.7911_42.1747","Maplink3")</f>
        <v>Maplink3</v>
      </c>
    </row>
    <row r="604" spans="1:48" s="19" customFormat="1" x14ac:dyDescent="0.25">
      <c r="A604" s="9">
        <v>17614</v>
      </c>
      <c r="B604" s="10" t="s">
        <v>20</v>
      </c>
      <c r="C604" s="10" t="s">
        <v>1163</v>
      </c>
      <c r="D604" s="10" t="s">
        <v>1269</v>
      </c>
      <c r="E604" s="10" t="s">
        <v>1270</v>
      </c>
      <c r="F604" s="10">
        <v>36.751361260000003</v>
      </c>
      <c r="G604" s="10">
        <v>42.172686140000003</v>
      </c>
      <c r="H604" s="11">
        <v>415</v>
      </c>
      <c r="I604" s="11">
        <v>2490</v>
      </c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>
        <v>415</v>
      </c>
      <c r="W604" s="11"/>
      <c r="X604" s="11"/>
      <c r="Y604" s="11"/>
      <c r="Z604" s="11"/>
      <c r="AA604" s="11"/>
      <c r="AB604" s="11"/>
      <c r="AC604" s="11">
        <v>415</v>
      </c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>
        <v>415</v>
      </c>
      <c r="AP604" s="11"/>
      <c r="AQ604" s="11"/>
      <c r="AR604" s="11"/>
      <c r="AS604" s="11"/>
      <c r="AT604" s="20" t="str">
        <f>HYPERLINK("http://www.openstreetmap.org/?mlat=36.7514&amp;mlon=42.1727&amp;zoom=12#map=12/36.7514/42.1727","Maplink1")</f>
        <v>Maplink1</v>
      </c>
      <c r="AU604" s="20" t="str">
        <f>HYPERLINK("https://www.google.iq/maps/search/+36.7514,42.1727/@36.7514,42.1727,14z?hl=en","Maplink2")</f>
        <v>Maplink2</v>
      </c>
      <c r="AV604" s="20" t="str">
        <f>HYPERLINK("http://www.bing.com/maps/?lvl=14&amp;sty=h&amp;cp=36.7514~42.1727&amp;sp=point.36.7514_42.1727","Maplink3")</f>
        <v>Maplink3</v>
      </c>
    </row>
    <row r="605" spans="1:48" s="19" customFormat="1" x14ac:dyDescent="0.25">
      <c r="A605" s="9">
        <v>17944</v>
      </c>
      <c r="B605" s="10" t="s">
        <v>20</v>
      </c>
      <c r="C605" s="10" t="s">
        <v>1163</v>
      </c>
      <c r="D605" s="10" t="s">
        <v>1271</v>
      </c>
      <c r="E605" s="10" t="s">
        <v>1272</v>
      </c>
      <c r="F605" s="10">
        <v>36.631470270000001</v>
      </c>
      <c r="G605" s="10">
        <v>42.598216100000002</v>
      </c>
      <c r="H605" s="11">
        <v>830</v>
      </c>
      <c r="I605" s="11">
        <v>4980</v>
      </c>
      <c r="J605" s="11"/>
      <c r="K605" s="11"/>
      <c r="L605" s="11"/>
      <c r="M605" s="11"/>
      <c r="N605" s="11">
        <v>830</v>
      </c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>
        <v>815</v>
      </c>
      <c r="AD605" s="11">
        <v>15</v>
      </c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>
        <v>830</v>
      </c>
      <c r="AP605" s="11"/>
      <c r="AQ605" s="11"/>
      <c r="AR605" s="11"/>
      <c r="AS605" s="11"/>
      <c r="AT605" s="20" t="str">
        <f>HYPERLINK("http://www.openstreetmap.org/?mlat=36.6315&amp;mlon=42.5982&amp;zoom=12#map=12/36.6315/42.5982","Maplink1")</f>
        <v>Maplink1</v>
      </c>
      <c r="AU605" s="20" t="str">
        <f>HYPERLINK("https://www.google.iq/maps/search/+36.6315,42.5982/@36.6315,42.5982,14z?hl=en","Maplink2")</f>
        <v>Maplink2</v>
      </c>
      <c r="AV605" s="20" t="str">
        <f>HYPERLINK("http://www.bing.com/maps/?lvl=14&amp;sty=h&amp;cp=36.6315~42.5982&amp;sp=point.36.6315_42.5982","Maplink3")</f>
        <v>Maplink3</v>
      </c>
    </row>
    <row r="606" spans="1:48" s="19" customFormat="1" x14ac:dyDescent="0.25">
      <c r="A606" s="9">
        <v>28439</v>
      </c>
      <c r="B606" s="10" t="s">
        <v>20</v>
      </c>
      <c r="C606" s="10" t="s">
        <v>1163</v>
      </c>
      <c r="D606" s="10" t="s">
        <v>1273</v>
      </c>
      <c r="E606" s="10" t="s">
        <v>1274</v>
      </c>
      <c r="F606" s="10">
        <v>36.746354500000002</v>
      </c>
      <c r="G606" s="10">
        <v>42.199465330000002</v>
      </c>
      <c r="H606" s="11">
        <v>106</v>
      </c>
      <c r="I606" s="11">
        <v>636</v>
      </c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>
        <v>106</v>
      </c>
      <c r="W606" s="11"/>
      <c r="X606" s="11"/>
      <c r="Y606" s="11"/>
      <c r="Z606" s="11"/>
      <c r="AA606" s="11"/>
      <c r="AB606" s="11"/>
      <c r="AC606" s="11">
        <v>106</v>
      </c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>
        <v>106</v>
      </c>
      <c r="AP606" s="11"/>
      <c r="AQ606" s="11"/>
      <c r="AR606" s="11"/>
      <c r="AS606" s="11"/>
      <c r="AT606" s="20" t="str">
        <f>HYPERLINK("http://www.openstreetmap.org/?mlat=36.7464&amp;mlon=42.1995&amp;zoom=12#map=12/36.7464/42.1995","Maplink1")</f>
        <v>Maplink1</v>
      </c>
      <c r="AU606" s="20" t="str">
        <f>HYPERLINK("https://www.google.iq/maps/search/+36.7464,42.1995/@36.7464,42.1995,14z?hl=en","Maplink2")</f>
        <v>Maplink2</v>
      </c>
      <c r="AV606" s="20" t="str">
        <f>HYPERLINK("http://www.bing.com/maps/?lvl=14&amp;sty=h&amp;cp=36.7464~42.1995&amp;sp=point.36.7464_42.1995","Maplink3")</f>
        <v>Maplink3</v>
      </c>
    </row>
    <row r="607" spans="1:48" s="19" customFormat="1" x14ac:dyDescent="0.25">
      <c r="A607" s="9">
        <v>28444</v>
      </c>
      <c r="B607" s="10" t="s">
        <v>20</v>
      </c>
      <c r="C607" s="10" t="s">
        <v>1163</v>
      </c>
      <c r="D607" s="10" t="s">
        <v>1275</v>
      </c>
      <c r="E607" s="10" t="s">
        <v>1276</v>
      </c>
      <c r="F607" s="10">
        <v>36.716690829999997</v>
      </c>
      <c r="G607" s="10">
        <v>42.352300190000001</v>
      </c>
      <c r="H607" s="11">
        <v>152</v>
      </c>
      <c r="I607" s="11">
        <v>912</v>
      </c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>
        <v>152</v>
      </c>
      <c r="W607" s="11"/>
      <c r="X607" s="11"/>
      <c r="Y607" s="11"/>
      <c r="Z607" s="11"/>
      <c r="AA607" s="11"/>
      <c r="AB607" s="11"/>
      <c r="AC607" s="11">
        <v>152</v>
      </c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>
        <v>152</v>
      </c>
      <c r="AP607" s="11"/>
      <c r="AQ607" s="11"/>
      <c r="AR607" s="11"/>
      <c r="AS607" s="11"/>
      <c r="AT607" s="20" t="str">
        <f>HYPERLINK("http://www.openstreetmap.org/?mlat=36.7167&amp;mlon=42.3523&amp;zoom=12#map=12/36.7167/42.3523","Maplink1")</f>
        <v>Maplink1</v>
      </c>
      <c r="AU607" s="20" t="str">
        <f>HYPERLINK("https://www.google.iq/maps/search/+36.7167,42.3523/@36.7167,42.3523,14z?hl=en","Maplink2")</f>
        <v>Maplink2</v>
      </c>
      <c r="AV607" s="20" t="str">
        <f>HYPERLINK("http://www.bing.com/maps/?lvl=14&amp;sty=h&amp;cp=36.7167~42.3523&amp;sp=point.36.7167_42.3523","Maplink3")</f>
        <v>Maplink3</v>
      </c>
    </row>
    <row r="608" spans="1:48" s="19" customFormat="1" x14ac:dyDescent="0.25">
      <c r="A608" s="9">
        <v>27356</v>
      </c>
      <c r="B608" s="10" t="s">
        <v>20</v>
      </c>
      <c r="C608" s="10" t="s">
        <v>1163</v>
      </c>
      <c r="D608" s="10" t="s">
        <v>1277</v>
      </c>
      <c r="E608" s="10" t="s">
        <v>1278</v>
      </c>
      <c r="F608" s="10">
        <v>36.499491291399998</v>
      </c>
      <c r="G608" s="10">
        <v>42.1418071919</v>
      </c>
      <c r="H608" s="11">
        <v>110</v>
      </c>
      <c r="I608" s="11">
        <v>660</v>
      </c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>
        <v>110</v>
      </c>
      <c r="W608" s="11"/>
      <c r="X608" s="11"/>
      <c r="Y608" s="11"/>
      <c r="Z608" s="11"/>
      <c r="AA608" s="11"/>
      <c r="AB608" s="11"/>
      <c r="AC608" s="11">
        <v>110</v>
      </c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>
        <v>110</v>
      </c>
      <c r="AQ608" s="11"/>
      <c r="AR608" s="11"/>
      <c r="AS608" s="11"/>
      <c r="AT608" s="20" t="str">
        <f>HYPERLINK("http://www.openstreetmap.org/?mlat=36.4995&amp;mlon=42.1418&amp;zoom=12#map=12/36.4995/42.1418","Maplink1")</f>
        <v>Maplink1</v>
      </c>
      <c r="AU608" s="20" t="str">
        <f>HYPERLINK("https://www.google.iq/maps/search/+36.4995,42.1418/@36.4995,42.1418,14z?hl=en","Maplink2")</f>
        <v>Maplink2</v>
      </c>
      <c r="AV608" s="20" t="str">
        <f>HYPERLINK("http://www.bing.com/maps/?lvl=14&amp;sty=h&amp;cp=36.4995~42.1418&amp;sp=point.36.4995_42.1418","Maplink3")</f>
        <v>Maplink3</v>
      </c>
    </row>
    <row r="609" spans="1:48" s="19" customFormat="1" x14ac:dyDescent="0.25">
      <c r="A609" s="9">
        <v>25705</v>
      </c>
      <c r="B609" s="10" t="s">
        <v>20</v>
      </c>
      <c r="C609" s="10" t="s">
        <v>1163</v>
      </c>
      <c r="D609" s="10" t="s">
        <v>1279</v>
      </c>
      <c r="E609" s="10" t="s">
        <v>1280</v>
      </c>
      <c r="F609" s="10">
        <v>36.576739179999997</v>
      </c>
      <c r="G609" s="10">
        <v>42.605259719999999</v>
      </c>
      <c r="H609" s="11">
        <v>25</v>
      </c>
      <c r="I609" s="11">
        <v>150</v>
      </c>
      <c r="J609" s="11"/>
      <c r="K609" s="11"/>
      <c r="L609" s="11"/>
      <c r="M609" s="11"/>
      <c r="N609" s="11">
        <v>25</v>
      </c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>
        <v>25</v>
      </c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>
        <v>25</v>
      </c>
      <c r="AP609" s="11"/>
      <c r="AQ609" s="11"/>
      <c r="AR609" s="11"/>
      <c r="AS609" s="11"/>
      <c r="AT609" s="20" t="str">
        <f>HYPERLINK("http://www.openstreetmap.org/?mlat=36.5767&amp;mlon=42.6053&amp;zoom=12#map=12/36.5767/42.6053","Maplink1")</f>
        <v>Maplink1</v>
      </c>
      <c r="AU609" s="20" t="str">
        <f>HYPERLINK("https://www.google.iq/maps/search/+36.5767,42.6053/@36.5767,42.6053,14z?hl=en","Maplink2")</f>
        <v>Maplink2</v>
      </c>
      <c r="AV609" s="20" t="str">
        <f>HYPERLINK("http://www.bing.com/maps/?lvl=14&amp;sty=h&amp;cp=36.5767~42.6053&amp;sp=point.36.5767_42.6053","Maplink3")</f>
        <v>Maplink3</v>
      </c>
    </row>
    <row r="610" spans="1:48" s="19" customFormat="1" x14ac:dyDescent="0.25">
      <c r="A610" s="9">
        <v>24600</v>
      </c>
      <c r="B610" s="10" t="s">
        <v>20</v>
      </c>
      <c r="C610" s="10" t="s">
        <v>1281</v>
      </c>
      <c r="D610" s="10" t="s">
        <v>1282</v>
      </c>
      <c r="E610" s="10" t="s">
        <v>1283</v>
      </c>
      <c r="F610" s="10">
        <v>36.446542000000001</v>
      </c>
      <c r="G610" s="10">
        <v>43.102502999999999</v>
      </c>
      <c r="H610" s="11">
        <v>130</v>
      </c>
      <c r="I610" s="11">
        <v>780</v>
      </c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>
        <v>130</v>
      </c>
      <c r="W610" s="11"/>
      <c r="X610" s="11"/>
      <c r="Y610" s="11"/>
      <c r="Z610" s="11"/>
      <c r="AA610" s="11"/>
      <c r="AB610" s="11"/>
      <c r="AC610" s="11">
        <v>130</v>
      </c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>
        <v>130</v>
      </c>
      <c r="AT610" s="20" t="str">
        <f>HYPERLINK("http://www.openstreetmap.org/?mlat=36.4465&amp;mlon=43.1025&amp;zoom=12#map=12/36.4465/43.1025","Maplink1")</f>
        <v>Maplink1</v>
      </c>
      <c r="AU610" s="20" t="str">
        <f>HYPERLINK("https://www.google.iq/maps/search/+36.4465,43.1025/@36.4465,43.1025,14z?hl=en","Maplink2")</f>
        <v>Maplink2</v>
      </c>
      <c r="AV610" s="20" t="str">
        <f>HYPERLINK("http://www.bing.com/maps/?lvl=14&amp;sty=h&amp;cp=36.4465~43.1025&amp;sp=point.36.4465_43.1025","Maplink3")</f>
        <v>Maplink3</v>
      </c>
    </row>
    <row r="611" spans="1:48" s="19" customFormat="1" x14ac:dyDescent="0.25">
      <c r="A611" s="9">
        <v>21603</v>
      </c>
      <c r="B611" s="10" t="s">
        <v>20</v>
      </c>
      <c r="C611" s="10" t="s">
        <v>1281</v>
      </c>
      <c r="D611" s="10" t="s">
        <v>1284</v>
      </c>
      <c r="E611" s="10" t="s">
        <v>1285</v>
      </c>
      <c r="F611" s="10">
        <v>36.430374999999998</v>
      </c>
      <c r="G611" s="10">
        <v>43.157958999999998</v>
      </c>
      <c r="H611" s="11">
        <v>860</v>
      </c>
      <c r="I611" s="11">
        <v>5160</v>
      </c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>
        <v>860</v>
      </c>
      <c r="W611" s="11"/>
      <c r="X611" s="11"/>
      <c r="Y611" s="11"/>
      <c r="Z611" s="11"/>
      <c r="AA611" s="11"/>
      <c r="AB611" s="11"/>
      <c r="AC611" s="11">
        <v>860</v>
      </c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>
        <v>860</v>
      </c>
      <c r="AT611" s="20" t="str">
        <f>HYPERLINK("http://www.openstreetmap.org/?mlat=36.4304&amp;mlon=43.158&amp;zoom=12#map=12/36.4304/43.158","Maplink1")</f>
        <v>Maplink1</v>
      </c>
      <c r="AU611" s="20" t="str">
        <f>HYPERLINK("https://www.google.iq/maps/search/+36.4304,43.158/@36.4304,43.158,14z?hl=en","Maplink2")</f>
        <v>Maplink2</v>
      </c>
      <c r="AV611" s="20" t="str">
        <f>HYPERLINK("http://www.bing.com/maps/?lvl=14&amp;sty=h&amp;cp=36.4304~43.158&amp;sp=point.36.4304_43.158","Maplink3")</f>
        <v>Maplink3</v>
      </c>
    </row>
    <row r="612" spans="1:48" s="19" customFormat="1" x14ac:dyDescent="0.25">
      <c r="A612" s="9">
        <v>17572</v>
      </c>
      <c r="B612" s="10" t="s">
        <v>20</v>
      </c>
      <c r="C612" s="10" t="s">
        <v>1281</v>
      </c>
      <c r="D612" s="10" t="s">
        <v>1286</v>
      </c>
      <c r="E612" s="10" t="s">
        <v>1287</v>
      </c>
      <c r="F612" s="10">
        <v>36.596669609999999</v>
      </c>
      <c r="G612" s="10">
        <v>42.878349960000001</v>
      </c>
      <c r="H612" s="11">
        <v>80</v>
      </c>
      <c r="I612" s="11">
        <v>480</v>
      </c>
      <c r="J612" s="11"/>
      <c r="K612" s="11"/>
      <c r="L612" s="11"/>
      <c r="M612" s="11"/>
      <c r="N612" s="11">
        <v>80</v>
      </c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>
        <v>80</v>
      </c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>
        <v>80</v>
      </c>
      <c r="AP612" s="11"/>
      <c r="AQ612" s="11"/>
      <c r="AR612" s="11"/>
      <c r="AS612" s="11"/>
      <c r="AT612" s="20" t="str">
        <f>HYPERLINK("http://www.openstreetmap.org/?mlat=36.5967&amp;mlon=42.8783&amp;zoom=12#map=12/36.5967/42.8783","Maplink1")</f>
        <v>Maplink1</v>
      </c>
      <c r="AU612" s="20" t="str">
        <f>HYPERLINK("https://www.google.iq/maps/search/+36.5967,42.8783/@36.5967,42.8783,14z?hl=en","Maplink2")</f>
        <v>Maplink2</v>
      </c>
      <c r="AV612" s="20" t="str">
        <f>HYPERLINK("http://www.bing.com/maps/?lvl=14&amp;sty=h&amp;cp=36.5967~42.8783&amp;sp=point.36.5967_42.8783","Maplink3")</f>
        <v>Maplink3</v>
      </c>
    </row>
    <row r="613" spans="1:48" s="19" customFormat="1" x14ac:dyDescent="0.25">
      <c r="A613" s="9">
        <v>17605</v>
      </c>
      <c r="B613" s="10" t="s">
        <v>20</v>
      </c>
      <c r="C613" s="10" t="s">
        <v>1281</v>
      </c>
      <c r="D613" s="10" t="s">
        <v>1288</v>
      </c>
      <c r="E613" s="10" t="s">
        <v>1289</v>
      </c>
      <c r="F613" s="10">
        <v>36.543928000000001</v>
      </c>
      <c r="G613" s="10">
        <v>43.024113999999997</v>
      </c>
      <c r="H613" s="11">
        <v>103</v>
      </c>
      <c r="I613" s="11">
        <v>618</v>
      </c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>
        <v>103</v>
      </c>
      <c r="W613" s="11"/>
      <c r="X613" s="11"/>
      <c r="Y613" s="11"/>
      <c r="Z613" s="11"/>
      <c r="AA613" s="11"/>
      <c r="AB613" s="11"/>
      <c r="AC613" s="11">
        <v>103</v>
      </c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>
        <v>103</v>
      </c>
      <c r="AP613" s="11"/>
      <c r="AQ613" s="11"/>
      <c r="AR613" s="11"/>
      <c r="AS613" s="11"/>
      <c r="AT613" s="20" t="str">
        <f>HYPERLINK("http://www.openstreetmap.org/?mlat=36.5439&amp;mlon=43.0241&amp;zoom=12#map=12/36.5439/43.0241","Maplink1")</f>
        <v>Maplink1</v>
      </c>
      <c r="AU613" s="20" t="str">
        <f>HYPERLINK("https://www.google.iq/maps/search/+36.5439,43.0241/@36.5439,43.0241,14z?hl=en","Maplink2")</f>
        <v>Maplink2</v>
      </c>
      <c r="AV613" s="20" t="str">
        <f>HYPERLINK("http://www.bing.com/maps/?lvl=14&amp;sty=h&amp;cp=36.5439~43.0241&amp;sp=point.36.5439_43.0241","Maplink3")</f>
        <v>Maplink3</v>
      </c>
    </row>
    <row r="614" spans="1:48" s="19" customFormat="1" x14ac:dyDescent="0.25">
      <c r="A614" s="9">
        <v>17758</v>
      </c>
      <c r="B614" s="10" t="s">
        <v>20</v>
      </c>
      <c r="C614" s="10" t="s">
        <v>1281</v>
      </c>
      <c r="D614" s="10" t="s">
        <v>1290</v>
      </c>
      <c r="E614" s="10" t="s">
        <v>1291</v>
      </c>
      <c r="F614" s="10">
        <v>36.588197000000001</v>
      </c>
      <c r="G614" s="10">
        <v>43.130383999999999</v>
      </c>
      <c r="H614" s="11">
        <v>40</v>
      </c>
      <c r="I614" s="11">
        <v>240</v>
      </c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>
        <v>40</v>
      </c>
      <c r="W614" s="11"/>
      <c r="X614" s="11"/>
      <c r="Y614" s="11"/>
      <c r="Z614" s="11"/>
      <c r="AA614" s="11"/>
      <c r="AB614" s="11"/>
      <c r="AC614" s="11">
        <v>40</v>
      </c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>
        <v>40</v>
      </c>
      <c r="AP614" s="11"/>
      <c r="AQ614" s="11"/>
      <c r="AR614" s="11"/>
      <c r="AS614" s="11"/>
      <c r="AT614" s="20" t="str">
        <f>HYPERLINK("http://www.openstreetmap.org/?mlat=36.5882&amp;mlon=43.1304&amp;zoom=12#map=12/36.5882/43.1304","Maplink1")</f>
        <v>Maplink1</v>
      </c>
      <c r="AU614" s="20" t="str">
        <f>HYPERLINK("https://www.google.iq/maps/search/+36.5882,43.1304/@36.5882,43.1304,14z?hl=en","Maplink2")</f>
        <v>Maplink2</v>
      </c>
      <c r="AV614" s="20" t="str">
        <f>HYPERLINK("http://www.bing.com/maps/?lvl=14&amp;sty=h&amp;cp=36.5882~43.1304&amp;sp=point.36.5882_43.1304","Maplink3")</f>
        <v>Maplink3</v>
      </c>
    </row>
    <row r="615" spans="1:48" s="19" customFormat="1" x14ac:dyDescent="0.25">
      <c r="A615" s="9">
        <v>17568</v>
      </c>
      <c r="B615" s="10" t="s">
        <v>20</v>
      </c>
      <c r="C615" s="10" t="s">
        <v>1281</v>
      </c>
      <c r="D615" s="10" t="s">
        <v>1292</v>
      </c>
      <c r="E615" s="10" t="s">
        <v>1293</v>
      </c>
      <c r="F615" s="10">
        <v>36.576873999999997</v>
      </c>
      <c r="G615" s="10">
        <v>43.174235000000003</v>
      </c>
      <c r="H615" s="11">
        <v>11</v>
      </c>
      <c r="I615" s="11">
        <v>66</v>
      </c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>
        <v>11</v>
      </c>
      <c r="W615" s="11"/>
      <c r="X615" s="11"/>
      <c r="Y615" s="11"/>
      <c r="Z615" s="11"/>
      <c r="AA615" s="11"/>
      <c r="AB615" s="11"/>
      <c r="AC615" s="11">
        <v>11</v>
      </c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>
        <v>11</v>
      </c>
      <c r="AP615" s="11"/>
      <c r="AQ615" s="11"/>
      <c r="AR615" s="11"/>
      <c r="AS615" s="11"/>
      <c r="AT615" s="20" t="str">
        <f>HYPERLINK("http://www.openstreetmap.org/?mlat=36.5769&amp;mlon=43.1742&amp;zoom=12#map=12/36.5769/43.1742","Maplink1")</f>
        <v>Maplink1</v>
      </c>
      <c r="AU615" s="20" t="str">
        <f>HYPERLINK("https://www.google.iq/maps/search/+36.5769,43.1742/@36.5769,43.1742,14z?hl=en","Maplink2")</f>
        <v>Maplink2</v>
      </c>
      <c r="AV615" s="20" t="str">
        <f>HYPERLINK("http://www.bing.com/maps/?lvl=14&amp;sty=h&amp;cp=36.5769~43.1742&amp;sp=point.36.5769_43.1742","Maplink3")</f>
        <v>Maplink3</v>
      </c>
    </row>
    <row r="616" spans="1:48" s="19" customFormat="1" x14ac:dyDescent="0.25">
      <c r="A616" s="9">
        <v>17949</v>
      </c>
      <c r="B616" s="10" t="s">
        <v>20</v>
      </c>
      <c r="C616" s="10" t="s">
        <v>1281</v>
      </c>
      <c r="D616" s="10" t="s">
        <v>1294</v>
      </c>
      <c r="E616" s="10" t="s">
        <v>1295</v>
      </c>
      <c r="F616" s="10">
        <v>36.678976759999998</v>
      </c>
      <c r="G616" s="10">
        <v>43.012809500000003</v>
      </c>
      <c r="H616" s="11">
        <v>250</v>
      </c>
      <c r="I616" s="11">
        <v>1500</v>
      </c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>
        <v>250</v>
      </c>
      <c r="W616" s="11"/>
      <c r="X616" s="11"/>
      <c r="Y616" s="11"/>
      <c r="Z616" s="11"/>
      <c r="AA616" s="11"/>
      <c r="AB616" s="11"/>
      <c r="AC616" s="11">
        <v>250</v>
      </c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>
        <v>250</v>
      </c>
      <c r="AP616" s="11"/>
      <c r="AQ616" s="11"/>
      <c r="AR616" s="11"/>
      <c r="AS616" s="11"/>
      <c r="AT616" s="20" t="str">
        <f>HYPERLINK("http://www.openstreetmap.org/?mlat=36.679&amp;mlon=43.0128&amp;zoom=12#map=12/36.679/43.0128","Maplink1")</f>
        <v>Maplink1</v>
      </c>
      <c r="AU616" s="20" t="str">
        <f>HYPERLINK("https://www.google.iq/maps/search/+36.679,43.0128/@36.679,43.0128,14z?hl=en","Maplink2")</f>
        <v>Maplink2</v>
      </c>
      <c r="AV616" s="20" t="str">
        <f>HYPERLINK("http://www.bing.com/maps/?lvl=14&amp;sty=h&amp;cp=36.679~43.0128&amp;sp=point.36.679_43.0128","Maplink3")</f>
        <v>Maplink3</v>
      </c>
    </row>
    <row r="617" spans="1:48" s="19" customFormat="1" x14ac:dyDescent="0.25">
      <c r="A617" s="9">
        <v>18046</v>
      </c>
      <c r="B617" s="10" t="s">
        <v>20</v>
      </c>
      <c r="C617" s="10" t="s">
        <v>1281</v>
      </c>
      <c r="D617" s="10" t="s">
        <v>1296</v>
      </c>
      <c r="E617" s="10" t="s">
        <v>1297</v>
      </c>
      <c r="F617" s="10">
        <v>36.615128550000001</v>
      </c>
      <c r="G617" s="10">
        <v>42.98922177</v>
      </c>
      <c r="H617" s="11">
        <v>300</v>
      </c>
      <c r="I617" s="11">
        <v>1800</v>
      </c>
      <c r="J617" s="11"/>
      <c r="K617" s="11"/>
      <c r="L617" s="11"/>
      <c r="M617" s="11"/>
      <c r="N617" s="11">
        <v>300</v>
      </c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>
        <v>300</v>
      </c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>
        <v>300</v>
      </c>
      <c r="AP617" s="11"/>
      <c r="AQ617" s="11"/>
      <c r="AR617" s="11"/>
      <c r="AS617" s="11"/>
      <c r="AT617" s="20" t="str">
        <f>HYPERLINK("http://www.openstreetmap.org/?mlat=36.6151&amp;mlon=42.9892&amp;zoom=12#map=12/36.6151/42.9892","Maplink1")</f>
        <v>Maplink1</v>
      </c>
      <c r="AU617" s="20" t="str">
        <f>HYPERLINK("https://www.google.iq/maps/search/+36.6151,42.9892/@36.6151,42.9892,14z?hl=en","Maplink2")</f>
        <v>Maplink2</v>
      </c>
      <c r="AV617" s="20" t="str">
        <f>HYPERLINK("http://www.bing.com/maps/?lvl=14&amp;sty=h&amp;cp=36.6151~42.9892&amp;sp=point.36.6151_42.9892","Maplink3")</f>
        <v>Maplink3</v>
      </c>
    </row>
    <row r="618" spans="1:48" s="19" customFormat="1" x14ac:dyDescent="0.25">
      <c r="A618" s="9">
        <v>27350</v>
      </c>
      <c r="B618" s="10" t="s">
        <v>20</v>
      </c>
      <c r="C618" s="10" t="s">
        <v>1281</v>
      </c>
      <c r="D618" s="10" t="s">
        <v>1298</v>
      </c>
      <c r="E618" s="10" t="s">
        <v>1299</v>
      </c>
      <c r="F618" s="10">
        <v>36.613679269999999</v>
      </c>
      <c r="G618" s="10">
        <v>42.837513090000002</v>
      </c>
      <c r="H618" s="11">
        <v>690</v>
      </c>
      <c r="I618" s="11">
        <v>4140</v>
      </c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>
        <v>690</v>
      </c>
      <c r="W618" s="11"/>
      <c r="X618" s="11"/>
      <c r="Y618" s="11"/>
      <c r="Z618" s="11"/>
      <c r="AA618" s="11"/>
      <c r="AB618" s="11"/>
      <c r="AC618" s="11">
        <v>690</v>
      </c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>
        <v>690</v>
      </c>
      <c r="AP618" s="11"/>
      <c r="AQ618" s="11"/>
      <c r="AR618" s="11"/>
      <c r="AS618" s="11"/>
      <c r="AT618" s="20" t="str">
        <f>HYPERLINK("http://www.openstreetmap.org/?mlat=36.6137&amp;mlon=42.8375&amp;zoom=12#map=12/36.6137/42.8375","Maplink1")</f>
        <v>Maplink1</v>
      </c>
      <c r="AU618" s="20" t="str">
        <f>HYPERLINK("https://www.google.iq/maps/search/+36.6137,42.8375/@36.6137,42.8375,14z?hl=en","Maplink2")</f>
        <v>Maplink2</v>
      </c>
      <c r="AV618" s="20" t="str">
        <f>HYPERLINK("http://www.bing.com/maps/?lvl=14&amp;sty=h&amp;cp=36.6137~42.8375&amp;sp=point.36.6137_42.8375","Maplink3")</f>
        <v>Maplink3</v>
      </c>
    </row>
    <row r="619" spans="1:48" s="19" customFormat="1" x14ac:dyDescent="0.25">
      <c r="A619" s="9">
        <v>21601</v>
      </c>
      <c r="B619" s="10" t="s">
        <v>20</v>
      </c>
      <c r="C619" s="10" t="s">
        <v>1281</v>
      </c>
      <c r="D619" s="10" t="s">
        <v>1300</v>
      </c>
      <c r="E619" s="10" t="s">
        <v>1301</v>
      </c>
      <c r="F619" s="10">
        <v>36.42145</v>
      </c>
      <c r="G619" s="10">
        <v>43.160580000000003</v>
      </c>
      <c r="H619" s="11">
        <v>480</v>
      </c>
      <c r="I619" s="11">
        <v>2880</v>
      </c>
      <c r="J619" s="11">
        <v>10</v>
      </c>
      <c r="K619" s="11">
        <v>40</v>
      </c>
      <c r="L619" s="11">
        <v>15</v>
      </c>
      <c r="M619" s="11"/>
      <c r="N619" s="11">
        <v>10</v>
      </c>
      <c r="O619" s="11"/>
      <c r="P619" s="11">
        <v>15</v>
      </c>
      <c r="Q619" s="11">
        <v>50</v>
      </c>
      <c r="R619" s="11"/>
      <c r="S619" s="11"/>
      <c r="T619" s="11"/>
      <c r="U619" s="11">
        <v>90</v>
      </c>
      <c r="V619" s="11">
        <v>250</v>
      </c>
      <c r="W619" s="11"/>
      <c r="X619" s="11"/>
      <c r="Y619" s="11"/>
      <c r="Z619" s="11"/>
      <c r="AA619" s="11"/>
      <c r="AB619" s="11"/>
      <c r="AC619" s="11">
        <v>480</v>
      </c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>
        <v>480</v>
      </c>
      <c r="AP619" s="11"/>
      <c r="AQ619" s="11"/>
      <c r="AR619" s="11"/>
      <c r="AS619" s="11"/>
      <c r="AT619" s="20" t="str">
        <f>HYPERLINK("http://www.openstreetmap.org/?mlat=36.4215&amp;mlon=43.1606&amp;zoom=12#map=12/36.4215/43.1606","Maplink1")</f>
        <v>Maplink1</v>
      </c>
      <c r="AU619" s="20" t="str">
        <f>HYPERLINK("https://www.google.iq/maps/search/+36.4215,43.1606/@36.4215,43.1606,14z?hl=en","Maplink2")</f>
        <v>Maplink2</v>
      </c>
      <c r="AV619" s="20" t="str">
        <f>HYPERLINK("http://www.bing.com/maps/?lvl=14&amp;sty=h&amp;cp=36.4215~43.1606&amp;sp=point.36.4215_43.1606","Maplink3")</f>
        <v>Maplink3</v>
      </c>
    </row>
    <row r="620" spans="1:48" s="19" customFormat="1" x14ac:dyDescent="0.25">
      <c r="A620" s="9">
        <v>31770</v>
      </c>
      <c r="B620" s="10" t="s">
        <v>20</v>
      </c>
      <c r="C620" s="10" t="s">
        <v>1281</v>
      </c>
      <c r="D620" s="10" t="s">
        <v>1302</v>
      </c>
      <c r="E620" s="10" t="s">
        <v>1303</v>
      </c>
      <c r="F620" s="10">
        <v>36.576070000000001</v>
      </c>
      <c r="G620" s="10">
        <v>43.184890000000003</v>
      </c>
      <c r="H620" s="11">
        <v>65</v>
      </c>
      <c r="I620" s="11">
        <v>390</v>
      </c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>
        <v>65</v>
      </c>
      <c r="W620" s="11"/>
      <c r="X620" s="11"/>
      <c r="Y620" s="11"/>
      <c r="Z620" s="11"/>
      <c r="AA620" s="11"/>
      <c r="AB620" s="11"/>
      <c r="AC620" s="11">
        <v>65</v>
      </c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>
        <v>65</v>
      </c>
      <c r="AP620" s="11"/>
      <c r="AQ620" s="11"/>
      <c r="AR620" s="11"/>
      <c r="AS620" s="11"/>
      <c r="AT620" s="20" t="str">
        <f>HYPERLINK("http://www.openstreetmap.org/?mlat=36.5761&amp;mlon=43.1849&amp;zoom=12#map=12/36.5761/43.1849","Maplink1")</f>
        <v>Maplink1</v>
      </c>
      <c r="AU620" s="20" t="str">
        <f>HYPERLINK("https://www.google.iq/maps/search/+36.5761,43.1849/@36.5761,43.1849,14z?hl=en","Maplink2")</f>
        <v>Maplink2</v>
      </c>
      <c r="AV620" s="20" t="str">
        <f>HYPERLINK("http://www.bing.com/maps/?lvl=14&amp;sty=h&amp;cp=36.5761~43.1849&amp;sp=point.36.5761_43.1849","Maplink3")</f>
        <v>Maplink3</v>
      </c>
    </row>
    <row r="621" spans="1:48" s="19" customFormat="1" x14ac:dyDescent="0.25">
      <c r="A621" s="9">
        <v>17931</v>
      </c>
      <c r="B621" s="10" t="s">
        <v>20</v>
      </c>
      <c r="C621" s="10" t="s">
        <v>1281</v>
      </c>
      <c r="D621" s="10" t="s">
        <v>1304</v>
      </c>
      <c r="E621" s="10" t="s">
        <v>1305</v>
      </c>
      <c r="F621" s="10">
        <v>36.61065095</v>
      </c>
      <c r="G621" s="10">
        <v>42.983273070000003</v>
      </c>
      <c r="H621" s="11">
        <v>383</v>
      </c>
      <c r="I621" s="11">
        <v>2298</v>
      </c>
      <c r="J621" s="11"/>
      <c r="K621" s="11"/>
      <c r="L621" s="11"/>
      <c r="M621" s="11"/>
      <c r="N621" s="11">
        <v>287</v>
      </c>
      <c r="O621" s="11"/>
      <c r="P621" s="11"/>
      <c r="Q621" s="11"/>
      <c r="R621" s="11"/>
      <c r="S621" s="11"/>
      <c r="T621" s="11"/>
      <c r="U621" s="11"/>
      <c r="V621" s="11">
        <v>96</v>
      </c>
      <c r="W621" s="11"/>
      <c r="X621" s="11"/>
      <c r="Y621" s="11"/>
      <c r="Z621" s="11"/>
      <c r="AA621" s="11"/>
      <c r="AB621" s="11"/>
      <c r="AC621" s="11">
        <v>383</v>
      </c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>
        <v>383</v>
      </c>
      <c r="AP621" s="11"/>
      <c r="AQ621" s="11"/>
      <c r="AR621" s="11"/>
      <c r="AS621" s="11"/>
      <c r="AT621" s="20" t="str">
        <f>HYPERLINK("http://www.openstreetmap.org/?mlat=36.6107&amp;mlon=42.9833&amp;zoom=12#map=12/36.6107/42.9833","Maplink1")</f>
        <v>Maplink1</v>
      </c>
      <c r="AU621" s="20" t="str">
        <f>HYPERLINK("https://www.google.iq/maps/search/+36.6107,42.9833/@36.6107,42.9833,14z?hl=en","Maplink2")</f>
        <v>Maplink2</v>
      </c>
      <c r="AV621" s="20" t="str">
        <f>HYPERLINK("http://www.bing.com/maps/?lvl=14&amp;sty=h&amp;cp=36.6107~42.9833&amp;sp=point.36.6107_42.9833","Maplink3")</f>
        <v>Maplink3</v>
      </c>
    </row>
    <row r="622" spans="1:48" s="19" customFormat="1" x14ac:dyDescent="0.25">
      <c r="A622" s="9">
        <v>17959</v>
      </c>
      <c r="B622" s="10" t="s">
        <v>20</v>
      </c>
      <c r="C622" s="10" t="s">
        <v>1281</v>
      </c>
      <c r="D622" s="10" t="s">
        <v>1306</v>
      </c>
      <c r="E622" s="10" t="s">
        <v>1307</v>
      </c>
      <c r="F622" s="10">
        <v>36.599922999999997</v>
      </c>
      <c r="G622" s="10">
        <v>43.106865999999997</v>
      </c>
      <c r="H622" s="11">
        <v>620</v>
      </c>
      <c r="I622" s="11">
        <v>3720</v>
      </c>
      <c r="J622" s="11"/>
      <c r="K622" s="11"/>
      <c r="L622" s="11"/>
      <c r="M622" s="11"/>
      <c r="N622" s="11">
        <v>190</v>
      </c>
      <c r="O622" s="11"/>
      <c r="P622" s="11">
        <v>160</v>
      </c>
      <c r="Q622" s="11"/>
      <c r="R622" s="11"/>
      <c r="S622" s="11"/>
      <c r="T622" s="11"/>
      <c r="U622" s="11"/>
      <c r="V622" s="11">
        <v>270</v>
      </c>
      <c r="W622" s="11"/>
      <c r="X622" s="11"/>
      <c r="Y622" s="11"/>
      <c r="Z622" s="11"/>
      <c r="AA622" s="11"/>
      <c r="AB622" s="11"/>
      <c r="AC622" s="11">
        <v>620</v>
      </c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>
        <v>620</v>
      </c>
      <c r="AP622" s="11"/>
      <c r="AQ622" s="11"/>
      <c r="AR622" s="11"/>
      <c r="AS622" s="11"/>
      <c r="AT622" s="20" t="str">
        <f>HYPERLINK("http://www.openstreetmap.org/?mlat=36.5999&amp;mlon=43.1069&amp;zoom=12#map=12/36.5999/43.1069","Maplink1")</f>
        <v>Maplink1</v>
      </c>
      <c r="AU622" s="20" t="str">
        <f>HYPERLINK("https://www.google.iq/maps/search/+36.5999,43.1069/@36.5999,43.1069,14z?hl=en","Maplink2")</f>
        <v>Maplink2</v>
      </c>
      <c r="AV622" s="20" t="str">
        <f>HYPERLINK("http://www.bing.com/maps/?lvl=14&amp;sty=h&amp;cp=36.5999~43.1069&amp;sp=point.36.5999_43.1069","Maplink3")</f>
        <v>Maplink3</v>
      </c>
    </row>
    <row r="623" spans="1:48" s="19" customFormat="1" x14ac:dyDescent="0.25">
      <c r="A623" s="9">
        <v>17941</v>
      </c>
      <c r="B623" s="10" t="s">
        <v>20</v>
      </c>
      <c r="C623" s="10" t="s">
        <v>1281</v>
      </c>
      <c r="D623" s="10" t="s">
        <v>1308</v>
      </c>
      <c r="E623" s="10" t="s">
        <v>1309</v>
      </c>
      <c r="F623" s="10">
        <v>36.489660000000001</v>
      </c>
      <c r="G623" s="10">
        <v>43.119173000000004</v>
      </c>
      <c r="H623" s="11">
        <v>279</v>
      </c>
      <c r="I623" s="11">
        <v>1674</v>
      </c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>
        <v>279</v>
      </c>
      <c r="W623" s="11"/>
      <c r="X623" s="11"/>
      <c r="Y623" s="11"/>
      <c r="Z623" s="11"/>
      <c r="AA623" s="11"/>
      <c r="AB623" s="11"/>
      <c r="AC623" s="11">
        <v>279</v>
      </c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>
        <v>279</v>
      </c>
      <c r="AP623" s="11"/>
      <c r="AQ623" s="11"/>
      <c r="AR623" s="11"/>
      <c r="AS623" s="11"/>
      <c r="AT623" s="20" t="str">
        <f>HYPERLINK("http://www.openstreetmap.org/?mlat=36.4897&amp;mlon=43.1192&amp;zoom=12#map=12/36.4897/43.1192","Maplink1")</f>
        <v>Maplink1</v>
      </c>
      <c r="AU623" s="20" t="str">
        <f>HYPERLINK("https://www.google.iq/maps/search/+36.4897,43.1192/@36.4897,43.1192,14z?hl=en","Maplink2")</f>
        <v>Maplink2</v>
      </c>
      <c r="AV623" s="20" t="str">
        <f>HYPERLINK("http://www.bing.com/maps/?lvl=14&amp;sty=h&amp;cp=36.4897~43.1192&amp;sp=point.36.4897_43.1192","Maplink3")</f>
        <v>Maplink3</v>
      </c>
    </row>
    <row r="624" spans="1:48" s="19" customFormat="1" x14ac:dyDescent="0.25">
      <c r="A624" s="9">
        <v>17133</v>
      </c>
      <c r="B624" s="10" t="s">
        <v>20</v>
      </c>
      <c r="C624" s="10" t="s">
        <v>1281</v>
      </c>
      <c r="D624" s="10" t="s">
        <v>1310</v>
      </c>
      <c r="E624" s="10" t="s">
        <v>1311</v>
      </c>
      <c r="F624" s="10">
        <v>36.532456740000001</v>
      </c>
      <c r="G624" s="10">
        <v>42.7592298</v>
      </c>
      <c r="H624" s="11">
        <v>1700</v>
      </c>
      <c r="I624" s="11">
        <v>10200</v>
      </c>
      <c r="J624" s="11"/>
      <c r="K624" s="11"/>
      <c r="L624" s="11"/>
      <c r="M624" s="11"/>
      <c r="N624" s="11">
        <v>1700</v>
      </c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>
        <v>1700</v>
      </c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>
        <v>1700</v>
      </c>
      <c r="AP624" s="11"/>
      <c r="AQ624" s="11"/>
      <c r="AR624" s="11"/>
      <c r="AS624" s="11"/>
      <c r="AT624" s="20" t="str">
        <f>HYPERLINK("http://www.openstreetmap.org/?mlat=36.5325&amp;mlon=42.7592&amp;zoom=12#map=12/36.5325/42.7592","Maplink1")</f>
        <v>Maplink1</v>
      </c>
      <c r="AU624" s="20" t="str">
        <f>HYPERLINK("https://www.google.iq/maps/search/+36.5325,42.7592/@36.5325,42.7592,14z?hl=en","Maplink2")</f>
        <v>Maplink2</v>
      </c>
      <c r="AV624" s="20" t="str">
        <f>HYPERLINK("http://www.bing.com/maps/?lvl=14&amp;sty=h&amp;cp=36.5325~42.7592&amp;sp=point.36.5325_42.7592","Maplink3")</f>
        <v>Maplink3</v>
      </c>
    </row>
    <row r="625" spans="1:48" s="19" customFormat="1" x14ac:dyDescent="0.25">
      <c r="A625" s="9">
        <v>26081</v>
      </c>
      <c r="B625" s="10" t="s">
        <v>22</v>
      </c>
      <c r="C625" s="10" t="s">
        <v>1312</v>
      </c>
      <c r="D625" s="10" t="s">
        <v>1313</v>
      </c>
      <c r="E625" s="10" t="s">
        <v>367</v>
      </c>
      <c r="F625" s="10">
        <v>34.460893390000003</v>
      </c>
      <c r="G625" s="10">
        <v>43.84258054</v>
      </c>
      <c r="H625" s="11">
        <v>212</v>
      </c>
      <c r="I625" s="11">
        <v>1272</v>
      </c>
      <c r="J625" s="11"/>
      <c r="K625" s="11"/>
      <c r="L625" s="11"/>
      <c r="M625" s="11"/>
      <c r="N625" s="11"/>
      <c r="O625" s="11"/>
      <c r="P625" s="11">
        <v>46</v>
      </c>
      <c r="Q625" s="11"/>
      <c r="R625" s="11">
        <v>83</v>
      </c>
      <c r="S625" s="11"/>
      <c r="T625" s="11"/>
      <c r="U625" s="11"/>
      <c r="V625" s="11"/>
      <c r="W625" s="11"/>
      <c r="X625" s="11">
        <v>66</v>
      </c>
      <c r="Y625" s="11">
        <v>17</v>
      </c>
      <c r="Z625" s="11"/>
      <c r="AA625" s="11"/>
      <c r="AB625" s="11"/>
      <c r="AC625" s="11">
        <v>205</v>
      </c>
      <c r="AD625" s="11"/>
      <c r="AE625" s="11"/>
      <c r="AF625" s="11"/>
      <c r="AG625" s="11"/>
      <c r="AH625" s="11">
        <v>7</v>
      </c>
      <c r="AI625" s="11"/>
      <c r="AJ625" s="11"/>
      <c r="AK625" s="11"/>
      <c r="AL625" s="11"/>
      <c r="AM625" s="11">
        <v>10</v>
      </c>
      <c r="AN625" s="11">
        <v>98</v>
      </c>
      <c r="AO625" s="11">
        <v>52</v>
      </c>
      <c r="AP625" s="11">
        <v>45</v>
      </c>
      <c r="AQ625" s="11"/>
      <c r="AR625" s="11"/>
      <c r="AS625" s="11">
        <v>7</v>
      </c>
      <c r="AT625" s="20" t="str">
        <f>HYPERLINK("http://www.openstreetmap.org/?mlat=34.4609&amp;mlon=43.8426&amp;zoom=12#map=12/34.4609/43.8426","Maplink1")</f>
        <v>Maplink1</v>
      </c>
      <c r="AU625" s="20" t="str">
        <f>HYPERLINK("https://www.google.iq/maps/search/+34.4609,43.8426/@34.4609,43.8426,14z?hl=en","Maplink2")</f>
        <v>Maplink2</v>
      </c>
      <c r="AV625" s="20" t="str">
        <f>HYPERLINK("http://www.bing.com/maps/?lvl=14&amp;sty=h&amp;cp=34.4609~43.8426&amp;sp=point.34.4609_43.8426","Maplink3")</f>
        <v>Maplink3</v>
      </c>
    </row>
    <row r="626" spans="1:48" s="19" customFormat="1" x14ac:dyDescent="0.25">
      <c r="A626" s="9">
        <v>26116</v>
      </c>
      <c r="B626" s="10" t="s">
        <v>22</v>
      </c>
      <c r="C626" s="10" t="s">
        <v>1312</v>
      </c>
      <c r="D626" s="10" t="s">
        <v>1314</v>
      </c>
      <c r="E626" s="10" t="s">
        <v>1315</v>
      </c>
      <c r="F626" s="10">
        <v>34.407308469999997</v>
      </c>
      <c r="G626" s="10">
        <v>43.79371673</v>
      </c>
      <c r="H626" s="11">
        <v>2485</v>
      </c>
      <c r="I626" s="11">
        <v>14910</v>
      </c>
      <c r="J626" s="11"/>
      <c r="K626" s="11"/>
      <c r="L626" s="11">
        <v>8</v>
      </c>
      <c r="M626" s="11"/>
      <c r="N626" s="11"/>
      <c r="O626" s="11"/>
      <c r="P626" s="11">
        <v>370</v>
      </c>
      <c r="Q626" s="11"/>
      <c r="R626" s="11">
        <v>837</v>
      </c>
      <c r="S626" s="11"/>
      <c r="T626" s="11"/>
      <c r="U626" s="11"/>
      <c r="V626" s="11"/>
      <c r="W626" s="11"/>
      <c r="X626" s="11">
        <v>822</v>
      </c>
      <c r="Y626" s="11">
        <v>448</v>
      </c>
      <c r="Z626" s="11"/>
      <c r="AA626" s="11"/>
      <c r="AB626" s="11"/>
      <c r="AC626" s="11">
        <v>2485</v>
      </c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>
        <v>1825</v>
      </c>
      <c r="AO626" s="11">
        <v>655</v>
      </c>
      <c r="AP626" s="11"/>
      <c r="AQ626" s="11"/>
      <c r="AR626" s="11"/>
      <c r="AS626" s="11">
        <v>5</v>
      </c>
      <c r="AT626" s="20" t="str">
        <f>HYPERLINK("http://www.openstreetmap.org/?mlat=34.4073&amp;mlon=43.7937&amp;zoom=12#map=12/34.4073/43.7937","Maplink1")</f>
        <v>Maplink1</v>
      </c>
      <c r="AU626" s="20" t="str">
        <f>HYPERLINK("https://www.google.iq/maps/search/+34.4073,43.7937/@34.4073,43.7937,14z?hl=en","Maplink2")</f>
        <v>Maplink2</v>
      </c>
      <c r="AV626" s="20" t="str">
        <f>HYPERLINK("http://www.bing.com/maps/?lvl=14&amp;sty=h&amp;cp=34.4073~43.7937&amp;sp=point.34.4073_43.7937","Maplink3")</f>
        <v>Maplink3</v>
      </c>
    </row>
    <row r="627" spans="1:48" s="19" customFormat="1" x14ac:dyDescent="0.25">
      <c r="A627" s="9">
        <v>20746</v>
      </c>
      <c r="B627" s="10" t="s">
        <v>22</v>
      </c>
      <c r="C627" s="10" t="s">
        <v>1312</v>
      </c>
      <c r="D627" s="10" t="s">
        <v>1316</v>
      </c>
      <c r="E627" s="10" t="s">
        <v>1317</v>
      </c>
      <c r="F627" s="10">
        <v>34.476997580000003</v>
      </c>
      <c r="G627" s="10">
        <v>43.790740649999996</v>
      </c>
      <c r="H627" s="11">
        <v>637</v>
      </c>
      <c r="I627" s="11">
        <v>3822</v>
      </c>
      <c r="J627" s="11"/>
      <c r="K627" s="11"/>
      <c r="L627" s="11"/>
      <c r="M627" s="11"/>
      <c r="N627" s="11"/>
      <c r="O627" s="11"/>
      <c r="P627" s="11">
        <v>95</v>
      </c>
      <c r="Q627" s="11"/>
      <c r="R627" s="11">
        <v>205</v>
      </c>
      <c r="S627" s="11"/>
      <c r="T627" s="11"/>
      <c r="U627" s="11"/>
      <c r="V627" s="11"/>
      <c r="W627" s="11"/>
      <c r="X627" s="11">
        <v>153</v>
      </c>
      <c r="Y627" s="11">
        <v>184</v>
      </c>
      <c r="Z627" s="11"/>
      <c r="AA627" s="11"/>
      <c r="AB627" s="11"/>
      <c r="AC627" s="11">
        <v>634</v>
      </c>
      <c r="AD627" s="11"/>
      <c r="AE627" s="11"/>
      <c r="AF627" s="11"/>
      <c r="AG627" s="11"/>
      <c r="AH627" s="11"/>
      <c r="AI627" s="11">
        <v>3</v>
      </c>
      <c r="AJ627" s="11"/>
      <c r="AK627" s="11"/>
      <c r="AL627" s="11"/>
      <c r="AM627" s="11"/>
      <c r="AN627" s="11">
        <v>596</v>
      </c>
      <c r="AO627" s="11">
        <v>32</v>
      </c>
      <c r="AP627" s="11">
        <v>9</v>
      </c>
      <c r="AQ627" s="11"/>
      <c r="AR627" s="11"/>
      <c r="AS627" s="11"/>
      <c r="AT627" s="20" t="str">
        <f>HYPERLINK("http://www.openstreetmap.org/?mlat=34.477&amp;mlon=43.7907&amp;zoom=12#map=12/34.477/43.7907","Maplink1")</f>
        <v>Maplink1</v>
      </c>
      <c r="AU627" s="20" t="str">
        <f>HYPERLINK("https://www.google.iq/maps/search/+34.477,43.7907/@34.477,43.7907,14z?hl=en","Maplink2")</f>
        <v>Maplink2</v>
      </c>
      <c r="AV627" s="20" t="str">
        <f>HYPERLINK("http://www.bing.com/maps/?lvl=14&amp;sty=h&amp;cp=34.477~43.7907&amp;sp=point.34.477_43.7907","Maplink3")</f>
        <v>Maplink3</v>
      </c>
    </row>
    <row r="628" spans="1:48" s="19" customFormat="1" x14ac:dyDescent="0.25">
      <c r="A628" s="9">
        <v>20587</v>
      </c>
      <c r="B628" s="10" t="s">
        <v>22</v>
      </c>
      <c r="C628" s="10" t="s">
        <v>1312</v>
      </c>
      <c r="D628" s="10" t="s">
        <v>1318</v>
      </c>
      <c r="E628" s="10" t="s">
        <v>1319</v>
      </c>
      <c r="F628" s="10">
        <v>34.455692169999999</v>
      </c>
      <c r="G628" s="10">
        <v>43.797937859999998</v>
      </c>
      <c r="H628" s="11">
        <v>1409</v>
      </c>
      <c r="I628" s="11">
        <v>8454</v>
      </c>
      <c r="J628" s="11"/>
      <c r="K628" s="11"/>
      <c r="L628" s="11">
        <v>3</v>
      </c>
      <c r="M628" s="11"/>
      <c r="N628" s="11"/>
      <c r="O628" s="11"/>
      <c r="P628" s="11">
        <v>82</v>
      </c>
      <c r="Q628" s="11"/>
      <c r="R628" s="11">
        <v>756</v>
      </c>
      <c r="S628" s="11"/>
      <c r="T628" s="11"/>
      <c r="U628" s="11"/>
      <c r="V628" s="11"/>
      <c r="W628" s="11"/>
      <c r="X628" s="11">
        <v>531</v>
      </c>
      <c r="Y628" s="11">
        <v>37</v>
      </c>
      <c r="Z628" s="11"/>
      <c r="AA628" s="11"/>
      <c r="AB628" s="11"/>
      <c r="AC628" s="11">
        <v>1384</v>
      </c>
      <c r="AD628" s="11"/>
      <c r="AE628" s="11"/>
      <c r="AF628" s="11"/>
      <c r="AG628" s="11"/>
      <c r="AH628" s="11"/>
      <c r="AI628" s="11">
        <v>25</v>
      </c>
      <c r="AJ628" s="11"/>
      <c r="AK628" s="11"/>
      <c r="AL628" s="11"/>
      <c r="AM628" s="11">
        <v>990</v>
      </c>
      <c r="AN628" s="11">
        <v>396</v>
      </c>
      <c r="AO628" s="11"/>
      <c r="AP628" s="11"/>
      <c r="AQ628" s="11">
        <v>15</v>
      </c>
      <c r="AR628" s="11"/>
      <c r="AS628" s="11">
        <v>8</v>
      </c>
      <c r="AT628" s="20" t="str">
        <f>HYPERLINK("http://www.openstreetmap.org/?mlat=34.4557&amp;mlon=43.7979&amp;zoom=12#map=12/34.4557/43.7979","Maplink1")</f>
        <v>Maplink1</v>
      </c>
      <c r="AU628" s="20" t="str">
        <f>HYPERLINK("https://www.google.iq/maps/search/+34.4557,43.7979/@34.4557,43.7979,14z?hl=en","Maplink2")</f>
        <v>Maplink2</v>
      </c>
      <c r="AV628" s="20" t="str">
        <f>HYPERLINK("http://www.bing.com/maps/?lvl=14&amp;sty=h&amp;cp=34.4557~43.7979&amp;sp=point.34.4557_43.7979","Maplink3")</f>
        <v>Maplink3</v>
      </c>
    </row>
    <row r="629" spans="1:48" s="19" customFormat="1" x14ac:dyDescent="0.25">
      <c r="A629" s="9">
        <v>26079</v>
      </c>
      <c r="B629" s="10" t="s">
        <v>22</v>
      </c>
      <c r="C629" s="10" t="s">
        <v>1312</v>
      </c>
      <c r="D629" s="10" t="s">
        <v>1320</v>
      </c>
      <c r="E629" s="10" t="s">
        <v>1321</v>
      </c>
      <c r="F629" s="10">
        <v>34.464746890000001</v>
      </c>
      <c r="G629" s="10">
        <v>43.791234510000002</v>
      </c>
      <c r="H629" s="11">
        <v>910</v>
      </c>
      <c r="I629" s="11">
        <v>5460</v>
      </c>
      <c r="J629" s="11"/>
      <c r="K629" s="11"/>
      <c r="L629" s="11">
        <v>4</v>
      </c>
      <c r="M629" s="11"/>
      <c r="N629" s="11"/>
      <c r="O629" s="11"/>
      <c r="P629" s="11">
        <v>119</v>
      </c>
      <c r="Q629" s="11"/>
      <c r="R629" s="11">
        <v>529</v>
      </c>
      <c r="S629" s="11"/>
      <c r="T629" s="11"/>
      <c r="U629" s="11"/>
      <c r="V629" s="11"/>
      <c r="W629" s="11"/>
      <c r="X629" s="11">
        <v>185</v>
      </c>
      <c r="Y629" s="11">
        <v>73</v>
      </c>
      <c r="Z629" s="11"/>
      <c r="AA629" s="11"/>
      <c r="AB629" s="11"/>
      <c r="AC629" s="11">
        <v>910</v>
      </c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>
        <v>857</v>
      </c>
      <c r="AO629" s="11">
        <v>24</v>
      </c>
      <c r="AP629" s="11">
        <v>29</v>
      </c>
      <c r="AQ629" s="11"/>
      <c r="AR629" s="11"/>
      <c r="AS629" s="11"/>
      <c r="AT629" s="20" t="str">
        <f>HYPERLINK("http://www.openstreetmap.org/?mlat=34.4647&amp;mlon=43.7912&amp;zoom=12#map=12/34.4647/43.7912","Maplink1")</f>
        <v>Maplink1</v>
      </c>
      <c r="AU629" s="20" t="str">
        <f>HYPERLINK("https://www.google.iq/maps/search/+34.4647,43.7912/@34.4647,43.7912,14z?hl=en","Maplink2")</f>
        <v>Maplink2</v>
      </c>
      <c r="AV629" s="20" t="str">
        <f>HYPERLINK("http://www.bing.com/maps/?lvl=14&amp;sty=h&amp;cp=34.4647~43.7912&amp;sp=point.34.4647_43.7912","Maplink3")</f>
        <v>Maplink3</v>
      </c>
    </row>
    <row r="630" spans="1:48" s="19" customFormat="1" x14ac:dyDescent="0.25">
      <c r="A630" s="9">
        <v>26078</v>
      </c>
      <c r="B630" s="10" t="s">
        <v>22</v>
      </c>
      <c r="C630" s="10" t="s">
        <v>1312</v>
      </c>
      <c r="D630" s="10" t="s">
        <v>1322</v>
      </c>
      <c r="E630" s="10" t="s">
        <v>211</v>
      </c>
      <c r="F630" s="10">
        <v>34.462648479999999</v>
      </c>
      <c r="G630" s="10">
        <v>43.795100499999997</v>
      </c>
      <c r="H630" s="11">
        <v>831</v>
      </c>
      <c r="I630" s="11">
        <v>4986</v>
      </c>
      <c r="J630" s="11"/>
      <c r="K630" s="11"/>
      <c r="L630" s="11">
        <v>1</v>
      </c>
      <c r="M630" s="11"/>
      <c r="N630" s="11"/>
      <c r="O630" s="11"/>
      <c r="P630" s="11">
        <v>135</v>
      </c>
      <c r="Q630" s="11"/>
      <c r="R630" s="11">
        <v>471</v>
      </c>
      <c r="S630" s="11"/>
      <c r="T630" s="11"/>
      <c r="U630" s="11"/>
      <c r="V630" s="11"/>
      <c r="W630" s="11"/>
      <c r="X630" s="11">
        <v>100</v>
      </c>
      <c r="Y630" s="11">
        <v>124</v>
      </c>
      <c r="Z630" s="11"/>
      <c r="AA630" s="11"/>
      <c r="AB630" s="11"/>
      <c r="AC630" s="11">
        <v>827</v>
      </c>
      <c r="AD630" s="11"/>
      <c r="AE630" s="11"/>
      <c r="AF630" s="11"/>
      <c r="AG630" s="11"/>
      <c r="AH630" s="11"/>
      <c r="AI630" s="11">
        <v>4</v>
      </c>
      <c r="AJ630" s="11"/>
      <c r="AK630" s="11"/>
      <c r="AL630" s="11"/>
      <c r="AM630" s="11"/>
      <c r="AN630" s="11">
        <v>831</v>
      </c>
      <c r="AO630" s="11"/>
      <c r="AP630" s="11"/>
      <c r="AQ630" s="11"/>
      <c r="AR630" s="11"/>
      <c r="AS630" s="11"/>
      <c r="AT630" s="20" t="str">
        <f>HYPERLINK("http://www.openstreetmap.org/?mlat=34.4626&amp;mlon=43.7951&amp;zoom=12#map=12/34.4626/43.7951","Maplink1")</f>
        <v>Maplink1</v>
      </c>
      <c r="AU630" s="20" t="str">
        <f>HYPERLINK("https://www.google.iq/maps/search/+34.4626,43.7951/@34.4626,43.7951,14z?hl=en","Maplink2")</f>
        <v>Maplink2</v>
      </c>
      <c r="AV630" s="20" t="str">
        <f>HYPERLINK("http://www.bing.com/maps/?lvl=14&amp;sty=h&amp;cp=34.4626~43.7951&amp;sp=point.34.4626_43.7951","Maplink3")</f>
        <v>Maplink3</v>
      </c>
    </row>
    <row r="631" spans="1:48" s="19" customFormat="1" x14ac:dyDescent="0.25">
      <c r="A631" s="9">
        <v>26082</v>
      </c>
      <c r="B631" s="10" t="s">
        <v>22</v>
      </c>
      <c r="C631" s="10" t="s">
        <v>1312</v>
      </c>
      <c r="D631" s="10" t="s">
        <v>1323</v>
      </c>
      <c r="E631" s="10" t="s">
        <v>1324</v>
      </c>
      <c r="F631" s="10">
        <v>34.456560320000001</v>
      </c>
      <c r="G631" s="10">
        <v>43.805647530000002</v>
      </c>
      <c r="H631" s="11">
        <v>350</v>
      </c>
      <c r="I631" s="11">
        <v>2100</v>
      </c>
      <c r="J631" s="11"/>
      <c r="K631" s="11"/>
      <c r="L631" s="11">
        <v>5</v>
      </c>
      <c r="M631" s="11"/>
      <c r="N631" s="11"/>
      <c r="O631" s="11"/>
      <c r="P631" s="11">
        <v>50</v>
      </c>
      <c r="Q631" s="11"/>
      <c r="R631" s="11">
        <v>67</v>
      </c>
      <c r="S631" s="11"/>
      <c r="T631" s="11"/>
      <c r="U631" s="11"/>
      <c r="V631" s="11"/>
      <c r="W631" s="11"/>
      <c r="X631" s="11">
        <v>213</v>
      </c>
      <c r="Y631" s="11">
        <v>15</v>
      </c>
      <c r="Z631" s="11"/>
      <c r="AA631" s="11"/>
      <c r="AB631" s="11"/>
      <c r="AC631" s="11">
        <v>350</v>
      </c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>
        <v>305</v>
      </c>
      <c r="AO631" s="11">
        <v>45</v>
      </c>
      <c r="AP631" s="11"/>
      <c r="AQ631" s="11"/>
      <c r="AR631" s="11"/>
      <c r="AS631" s="11"/>
      <c r="AT631" s="20" t="str">
        <f>HYPERLINK("http://www.openstreetmap.org/?mlat=34.4566&amp;mlon=43.8056&amp;zoom=12#map=12/34.4566/43.8056","Maplink1")</f>
        <v>Maplink1</v>
      </c>
      <c r="AU631" s="20" t="str">
        <f>HYPERLINK("https://www.google.iq/maps/search/+34.4566,43.8056/@34.4566,43.8056,14z?hl=en","Maplink2")</f>
        <v>Maplink2</v>
      </c>
      <c r="AV631" s="20" t="str">
        <f>HYPERLINK("http://www.bing.com/maps/?lvl=14&amp;sty=h&amp;cp=34.4566~43.8056&amp;sp=point.34.4566_43.8056","Maplink3")</f>
        <v>Maplink3</v>
      </c>
    </row>
    <row r="632" spans="1:48" s="19" customFormat="1" x14ac:dyDescent="0.25">
      <c r="A632" s="9">
        <v>20713</v>
      </c>
      <c r="B632" s="10" t="s">
        <v>22</v>
      </c>
      <c r="C632" s="10" t="s">
        <v>1312</v>
      </c>
      <c r="D632" s="10" t="s">
        <v>1325</v>
      </c>
      <c r="E632" s="10" t="s">
        <v>1205</v>
      </c>
      <c r="F632" s="10">
        <v>34.473313150000003</v>
      </c>
      <c r="G632" s="10">
        <v>43.791285729999998</v>
      </c>
      <c r="H632" s="11">
        <v>748</v>
      </c>
      <c r="I632" s="11">
        <v>4488</v>
      </c>
      <c r="J632" s="11"/>
      <c r="K632" s="11"/>
      <c r="L632" s="11">
        <v>12</v>
      </c>
      <c r="M632" s="11"/>
      <c r="N632" s="11"/>
      <c r="O632" s="11"/>
      <c r="P632" s="11">
        <v>43</v>
      </c>
      <c r="Q632" s="11"/>
      <c r="R632" s="11">
        <v>408</v>
      </c>
      <c r="S632" s="11"/>
      <c r="T632" s="11"/>
      <c r="U632" s="11"/>
      <c r="V632" s="11"/>
      <c r="W632" s="11"/>
      <c r="X632" s="11">
        <v>194</v>
      </c>
      <c r="Y632" s="11">
        <v>91</v>
      </c>
      <c r="Z632" s="11"/>
      <c r="AA632" s="11"/>
      <c r="AB632" s="11"/>
      <c r="AC632" s="11">
        <v>735</v>
      </c>
      <c r="AD632" s="11"/>
      <c r="AE632" s="11"/>
      <c r="AF632" s="11"/>
      <c r="AG632" s="11"/>
      <c r="AH632" s="11"/>
      <c r="AI632" s="11">
        <v>13</v>
      </c>
      <c r="AJ632" s="11"/>
      <c r="AK632" s="11"/>
      <c r="AL632" s="11"/>
      <c r="AM632" s="11"/>
      <c r="AN632" s="11">
        <v>475</v>
      </c>
      <c r="AO632" s="11">
        <v>177</v>
      </c>
      <c r="AP632" s="11">
        <v>96</v>
      </c>
      <c r="AQ632" s="11"/>
      <c r="AR632" s="11"/>
      <c r="AS632" s="11"/>
      <c r="AT632" s="20" t="str">
        <f>HYPERLINK("http://www.openstreetmap.org/?mlat=34.4733&amp;mlon=43.7913&amp;zoom=12#map=12/34.4733/43.7913","Maplink1")</f>
        <v>Maplink1</v>
      </c>
      <c r="AU632" s="20" t="str">
        <f>HYPERLINK("https://www.google.iq/maps/search/+34.4733,43.7913/@34.4733,43.7913,14z?hl=en","Maplink2")</f>
        <v>Maplink2</v>
      </c>
      <c r="AV632" s="20" t="str">
        <f>HYPERLINK("http://www.bing.com/maps/?lvl=14&amp;sty=h&amp;cp=34.4733~43.7913&amp;sp=point.34.4733_43.7913","Maplink3")</f>
        <v>Maplink3</v>
      </c>
    </row>
    <row r="633" spans="1:48" s="19" customFormat="1" x14ac:dyDescent="0.25">
      <c r="A633" s="9">
        <v>26080</v>
      </c>
      <c r="B633" s="10" t="s">
        <v>22</v>
      </c>
      <c r="C633" s="10" t="s">
        <v>1312</v>
      </c>
      <c r="D633" s="10" t="s">
        <v>1326</v>
      </c>
      <c r="E633" s="10" t="s">
        <v>1327</v>
      </c>
      <c r="F633" s="10">
        <v>34.453507930000001</v>
      </c>
      <c r="G633" s="10">
        <v>43.79186232</v>
      </c>
      <c r="H633" s="11">
        <v>465</v>
      </c>
      <c r="I633" s="11">
        <v>2790</v>
      </c>
      <c r="J633" s="11"/>
      <c r="K633" s="11"/>
      <c r="L633" s="11"/>
      <c r="M633" s="11"/>
      <c r="N633" s="11"/>
      <c r="O633" s="11"/>
      <c r="P633" s="11">
        <v>67</v>
      </c>
      <c r="Q633" s="11"/>
      <c r="R633" s="11">
        <v>140</v>
      </c>
      <c r="S633" s="11"/>
      <c r="T633" s="11"/>
      <c r="U633" s="11"/>
      <c r="V633" s="11"/>
      <c r="W633" s="11"/>
      <c r="X633" s="11">
        <v>225</v>
      </c>
      <c r="Y633" s="11">
        <v>33</v>
      </c>
      <c r="Z633" s="11"/>
      <c r="AA633" s="11"/>
      <c r="AB633" s="11"/>
      <c r="AC633" s="11">
        <v>465</v>
      </c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>
        <v>398</v>
      </c>
      <c r="AO633" s="11">
        <v>53</v>
      </c>
      <c r="AP633" s="11">
        <v>14</v>
      </c>
      <c r="AQ633" s="11"/>
      <c r="AR633" s="11"/>
      <c r="AS633" s="11"/>
      <c r="AT633" s="20" t="str">
        <f>HYPERLINK("http://www.openstreetmap.org/?mlat=34.4535&amp;mlon=43.7919&amp;zoom=12#map=12/34.4535/43.7919","Maplink1")</f>
        <v>Maplink1</v>
      </c>
      <c r="AU633" s="20" t="str">
        <f>HYPERLINK("https://www.google.iq/maps/search/+34.4535,43.7919/@34.4535,43.7919,14z?hl=en","Maplink2")</f>
        <v>Maplink2</v>
      </c>
      <c r="AV633" s="20" t="str">
        <f>HYPERLINK("http://www.bing.com/maps/?lvl=14&amp;sty=h&amp;cp=34.4535~43.7919&amp;sp=point.34.4535_43.7919","Maplink3")</f>
        <v>Maplink3</v>
      </c>
    </row>
    <row r="634" spans="1:48" s="19" customFormat="1" x14ac:dyDescent="0.25">
      <c r="A634" s="9">
        <v>24620</v>
      </c>
      <c r="B634" s="10" t="s">
        <v>22</v>
      </c>
      <c r="C634" s="10" t="s">
        <v>1312</v>
      </c>
      <c r="D634" s="10" t="s">
        <v>1328</v>
      </c>
      <c r="E634" s="10" t="s">
        <v>1329</v>
      </c>
      <c r="F634" s="10">
        <v>34.456338076900003</v>
      </c>
      <c r="G634" s="10">
        <v>43.789170719700003</v>
      </c>
      <c r="H634" s="11">
        <v>65</v>
      </c>
      <c r="I634" s="11">
        <v>390</v>
      </c>
      <c r="J634" s="11"/>
      <c r="K634" s="11"/>
      <c r="L634" s="11"/>
      <c r="M634" s="11"/>
      <c r="N634" s="11"/>
      <c r="O634" s="11"/>
      <c r="P634" s="11">
        <v>9</v>
      </c>
      <c r="Q634" s="11"/>
      <c r="R634" s="11">
        <v>44</v>
      </c>
      <c r="S634" s="11"/>
      <c r="T634" s="11"/>
      <c r="U634" s="11"/>
      <c r="V634" s="11"/>
      <c r="W634" s="11"/>
      <c r="X634" s="11"/>
      <c r="Y634" s="11">
        <v>12</v>
      </c>
      <c r="Z634" s="11"/>
      <c r="AA634" s="11"/>
      <c r="AB634" s="11"/>
      <c r="AC634" s="11">
        <v>59</v>
      </c>
      <c r="AD634" s="11"/>
      <c r="AE634" s="11"/>
      <c r="AF634" s="11"/>
      <c r="AG634" s="11"/>
      <c r="AH634" s="11"/>
      <c r="AI634" s="11">
        <v>6</v>
      </c>
      <c r="AJ634" s="11"/>
      <c r="AK634" s="11"/>
      <c r="AL634" s="11"/>
      <c r="AM634" s="11"/>
      <c r="AN634" s="11">
        <v>58</v>
      </c>
      <c r="AO634" s="11">
        <v>7</v>
      </c>
      <c r="AP634" s="11"/>
      <c r="AQ634" s="11"/>
      <c r="AR634" s="11"/>
      <c r="AS634" s="11"/>
      <c r="AT634" s="20" t="str">
        <f>HYPERLINK("http://www.openstreetmap.org/?mlat=34.4563&amp;mlon=43.7892&amp;zoom=12#map=12/34.4563/43.7892","Maplink1")</f>
        <v>Maplink1</v>
      </c>
      <c r="AU634" s="20" t="str">
        <f>HYPERLINK("https://www.google.iq/maps/search/+34.4563,43.7892/@34.4563,43.7892,14z?hl=en","Maplink2")</f>
        <v>Maplink2</v>
      </c>
      <c r="AV634" s="20" t="str">
        <f>HYPERLINK("http://www.bing.com/maps/?lvl=14&amp;sty=h&amp;cp=34.4563~43.7892&amp;sp=point.34.4563_43.7892","Maplink3")</f>
        <v>Maplink3</v>
      </c>
    </row>
    <row r="635" spans="1:48" s="19" customFormat="1" x14ac:dyDescent="0.25">
      <c r="A635" s="9">
        <v>24619</v>
      </c>
      <c r="B635" s="10" t="s">
        <v>22</v>
      </c>
      <c r="C635" s="10" t="s">
        <v>1312</v>
      </c>
      <c r="D635" s="10" t="s">
        <v>1330</v>
      </c>
      <c r="E635" s="10" t="s">
        <v>1331</v>
      </c>
      <c r="F635" s="10">
        <v>34.4608830381</v>
      </c>
      <c r="G635" s="10">
        <v>43.7914831191</v>
      </c>
      <c r="H635" s="11">
        <v>83</v>
      </c>
      <c r="I635" s="11">
        <v>498</v>
      </c>
      <c r="J635" s="11"/>
      <c r="K635" s="11"/>
      <c r="L635" s="11"/>
      <c r="M635" s="11"/>
      <c r="N635" s="11"/>
      <c r="O635" s="11"/>
      <c r="P635" s="11">
        <v>28</v>
      </c>
      <c r="Q635" s="11"/>
      <c r="R635" s="11">
        <v>48</v>
      </c>
      <c r="S635" s="11"/>
      <c r="T635" s="11"/>
      <c r="U635" s="11"/>
      <c r="V635" s="11"/>
      <c r="W635" s="11"/>
      <c r="X635" s="11"/>
      <c r="Y635" s="11">
        <v>7</v>
      </c>
      <c r="Z635" s="11"/>
      <c r="AA635" s="11"/>
      <c r="AB635" s="11"/>
      <c r="AC635" s="11">
        <v>83</v>
      </c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>
        <v>46</v>
      </c>
      <c r="AO635" s="11">
        <v>37</v>
      </c>
      <c r="AP635" s="11"/>
      <c r="AQ635" s="11"/>
      <c r="AR635" s="11"/>
      <c r="AS635" s="11"/>
      <c r="AT635" s="20" t="str">
        <f>HYPERLINK("http://www.openstreetmap.org/?mlat=34.4609&amp;mlon=43.7915&amp;zoom=12#map=12/34.4609/43.7915","Maplink1")</f>
        <v>Maplink1</v>
      </c>
      <c r="AU635" s="20" t="str">
        <f>HYPERLINK("https://www.google.iq/maps/search/+34.4609,43.7915/@34.4609,43.7915,14z?hl=en","Maplink2")</f>
        <v>Maplink2</v>
      </c>
      <c r="AV635" s="20" t="str">
        <f>HYPERLINK("http://www.bing.com/maps/?lvl=14&amp;sty=h&amp;cp=34.4609~43.7915&amp;sp=point.34.4609_43.7915","Maplink3")</f>
        <v>Maplink3</v>
      </c>
    </row>
    <row r="636" spans="1:48" s="19" customFormat="1" x14ac:dyDescent="0.25">
      <c r="A636" s="9">
        <v>26077</v>
      </c>
      <c r="B636" s="10" t="s">
        <v>22</v>
      </c>
      <c r="C636" s="10" t="s">
        <v>1312</v>
      </c>
      <c r="D636" s="10" t="s">
        <v>1332</v>
      </c>
      <c r="E636" s="10" t="s">
        <v>1333</v>
      </c>
      <c r="F636" s="10">
        <v>34.446231679999997</v>
      </c>
      <c r="G636" s="10">
        <v>43.797421450000002</v>
      </c>
      <c r="H636" s="11">
        <v>1210</v>
      </c>
      <c r="I636" s="11">
        <v>7260</v>
      </c>
      <c r="J636" s="11"/>
      <c r="K636" s="11"/>
      <c r="L636" s="11"/>
      <c r="M636" s="11"/>
      <c r="N636" s="11"/>
      <c r="O636" s="11"/>
      <c r="P636" s="11">
        <v>106</v>
      </c>
      <c r="Q636" s="11"/>
      <c r="R636" s="11">
        <v>725</v>
      </c>
      <c r="S636" s="11"/>
      <c r="T636" s="11"/>
      <c r="U636" s="11"/>
      <c r="V636" s="11"/>
      <c r="W636" s="11"/>
      <c r="X636" s="11">
        <v>379</v>
      </c>
      <c r="Y636" s="11"/>
      <c r="Z636" s="11"/>
      <c r="AA636" s="11"/>
      <c r="AB636" s="11"/>
      <c r="AC636" s="11">
        <v>1210</v>
      </c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>
        <v>1190</v>
      </c>
      <c r="AO636" s="11">
        <v>20</v>
      </c>
      <c r="AP636" s="11"/>
      <c r="AQ636" s="11"/>
      <c r="AR636" s="11"/>
      <c r="AS636" s="11"/>
      <c r="AT636" s="20" t="str">
        <f>HYPERLINK("http://www.openstreetmap.org/?mlat=34.4462&amp;mlon=43.7974&amp;zoom=12#map=12/34.4462/43.7974","Maplink1")</f>
        <v>Maplink1</v>
      </c>
      <c r="AU636" s="20" t="str">
        <f>HYPERLINK("https://www.google.iq/maps/search/+34.4462,43.7974/@34.4462,43.7974,14z?hl=en","Maplink2")</f>
        <v>Maplink2</v>
      </c>
      <c r="AV636" s="20" t="str">
        <f>HYPERLINK("http://www.bing.com/maps/?lvl=14&amp;sty=h&amp;cp=34.4462~43.7974&amp;sp=point.34.4462_43.7974","Maplink3")</f>
        <v>Maplink3</v>
      </c>
    </row>
    <row r="637" spans="1:48" s="19" customFormat="1" x14ac:dyDescent="0.25">
      <c r="A637" s="9">
        <v>28420</v>
      </c>
      <c r="B637" s="10" t="s">
        <v>22</v>
      </c>
      <c r="C637" s="10" t="s">
        <v>1334</v>
      </c>
      <c r="D637" s="10" t="s">
        <v>1335</v>
      </c>
      <c r="E637" s="10" t="s">
        <v>1336</v>
      </c>
      <c r="F637" s="10">
        <v>33.889831999999998</v>
      </c>
      <c r="G637" s="10">
        <v>44.355066999999998</v>
      </c>
      <c r="H637" s="11">
        <v>512</v>
      </c>
      <c r="I637" s="11">
        <v>3072</v>
      </c>
      <c r="J637" s="11"/>
      <c r="K637" s="11"/>
      <c r="L637" s="11">
        <v>62</v>
      </c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>
        <v>450</v>
      </c>
      <c r="Y637" s="11"/>
      <c r="Z637" s="11"/>
      <c r="AA637" s="11"/>
      <c r="AB637" s="11"/>
      <c r="AC637" s="11">
        <v>375</v>
      </c>
      <c r="AD637" s="11">
        <v>137</v>
      </c>
      <c r="AE637" s="11"/>
      <c r="AF637" s="11"/>
      <c r="AG637" s="11"/>
      <c r="AH637" s="11"/>
      <c r="AI637" s="11"/>
      <c r="AJ637" s="11"/>
      <c r="AK637" s="11"/>
      <c r="AL637" s="11"/>
      <c r="AM637" s="11"/>
      <c r="AN637" s="11">
        <v>512</v>
      </c>
      <c r="AO637" s="11"/>
      <c r="AP637" s="11"/>
      <c r="AQ637" s="11"/>
      <c r="AR637" s="11"/>
      <c r="AS637" s="11"/>
      <c r="AT637" s="20" t="str">
        <f>HYPERLINK("http://www.openstreetmap.org/?mlat=33.8898&amp;mlon=44.3551&amp;zoom=12#map=12/33.8898/44.3551","Maplink1")</f>
        <v>Maplink1</v>
      </c>
      <c r="AU637" s="20" t="str">
        <f>HYPERLINK("https://www.google.iq/maps/search/+33.8898,44.3551/@33.8898,44.3551,14z?hl=en","Maplink2")</f>
        <v>Maplink2</v>
      </c>
      <c r="AV637" s="20" t="str">
        <f>HYPERLINK("http://www.bing.com/maps/?lvl=14&amp;sty=h&amp;cp=33.8898~44.3551&amp;sp=point.33.8898_44.3551","Maplink3")</f>
        <v>Maplink3</v>
      </c>
    </row>
    <row r="638" spans="1:48" s="19" customFormat="1" x14ac:dyDescent="0.25">
      <c r="A638" s="9">
        <v>25947</v>
      </c>
      <c r="B638" s="10" t="s">
        <v>22</v>
      </c>
      <c r="C638" s="10" t="s">
        <v>1334</v>
      </c>
      <c r="D638" s="10" t="s">
        <v>1337</v>
      </c>
      <c r="E638" s="10" t="s">
        <v>1338</v>
      </c>
      <c r="F638" s="10">
        <v>33.909243490000001</v>
      </c>
      <c r="G638" s="10">
        <v>44.183530609999998</v>
      </c>
      <c r="H638" s="11">
        <v>543</v>
      </c>
      <c r="I638" s="11">
        <v>3258</v>
      </c>
      <c r="J638" s="11"/>
      <c r="K638" s="11"/>
      <c r="L638" s="11">
        <v>130</v>
      </c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>
        <v>413</v>
      </c>
      <c r="Y638" s="11"/>
      <c r="Z638" s="11"/>
      <c r="AA638" s="11"/>
      <c r="AB638" s="11"/>
      <c r="AC638" s="11">
        <v>480</v>
      </c>
      <c r="AD638" s="11">
        <v>63</v>
      </c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>
        <v>443</v>
      </c>
      <c r="AP638" s="11">
        <v>100</v>
      </c>
      <c r="AQ638" s="11"/>
      <c r="AR638" s="11"/>
      <c r="AS638" s="11"/>
      <c r="AT638" s="20" t="str">
        <f>HYPERLINK("http://www.openstreetmap.org/?mlat=33.9092&amp;mlon=44.1835&amp;zoom=12#map=12/33.9092/44.1835","Maplink1")</f>
        <v>Maplink1</v>
      </c>
      <c r="AU638" s="20" t="str">
        <f>HYPERLINK("https://www.google.iq/maps/search/+33.9092,44.1835/@33.9092,44.1835,14z?hl=en","Maplink2")</f>
        <v>Maplink2</v>
      </c>
      <c r="AV638" s="20" t="str">
        <f>HYPERLINK("http://www.bing.com/maps/?lvl=14&amp;sty=h&amp;cp=33.9092~44.1835&amp;sp=point.33.9092_44.1835","Maplink3")</f>
        <v>Maplink3</v>
      </c>
    </row>
    <row r="639" spans="1:48" s="19" customFormat="1" x14ac:dyDescent="0.25">
      <c r="A639" s="9">
        <v>23300</v>
      </c>
      <c r="B639" s="10" t="s">
        <v>22</v>
      </c>
      <c r="C639" s="10" t="s">
        <v>1339</v>
      </c>
      <c r="D639" s="10" t="s">
        <v>1340</v>
      </c>
      <c r="E639" s="10" t="s">
        <v>1341</v>
      </c>
      <c r="F639" s="10">
        <v>35.440358000000003</v>
      </c>
      <c r="G639" s="10">
        <v>43.219168000000003</v>
      </c>
      <c r="H639" s="11">
        <v>172</v>
      </c>
      <c r="I639" s="11">
        <v>1032</v>
      </c>
      <c r="J639" s="11"/>
      <c r="K639" s="11"/>
      <c r="L639" s="11"/>
      <c r="M639" s="11"/>
      <c r="N639" s="11"/>
      <c r="O639" s="11"/>
      <c r="P639" s="11">
        <v>45</v>
      </c>
      <c r="Q639" s="11"/>
      <c r="R639" s="11">
        <v>29</v>
      </c>
      <c r="S639" s="11"/>
      <c r="T639" s="11"/>
      <c r="U639" s="11"/>
      <c r="V639" s="11"/>
      <c r="W639" s="11"/>
      <c r="X639" s="11">
        <v>98</v>
      </c>
      <c r="Y639" s="11"/>
      <c r="Z639" s="11"/>
      <c r="AA639" s="11"/>
      <c r="AB639" s="11"/>
      <c r="AC639" s="11">
        <v>167</v>
      </c>
      <c r="AD639" s="11"/>
      <c r="AE639" s="11"/>
      <c r="AF639" s="11"/>
      <c r="AG639" s="11"/>
      <c r="AH639" s="11"/>
      <c r="AI639" s="11">
        <v>5</v>
      </c>
      <c r="AJ639" s="11"/>
      <c r="AK639" s="11"/>
      <c r="AL639" s="11"/>
      <c r="AM639" s="11"/>
      <c r="AN639" s="11">
        <v>56</v>
      </c>
      <c r="AO639" s="11">
        <v>113</v>
      </c>
      <c r="AP639" s="11"/>
      <c r="AQ639" s="11">
        <v>3</v>
      </c>
      <c r="AR639" s="11"/>
      <c r="AS639" s="11"/>
      <c r="AT639" s="20" t="str">
        <f>HYPERLINK("http://www.openstreetmap.org/?mlat=35.4404&amp;mlon=43.2192&amp;zoom=12#map=12/35.4404/43.2192","Maplink1")</f>
        <v>Maplink1</v>
      </c>
      <c r="AU639" s="20" t="str">
        <f>HYPERLINK("https://www.google.iq/maps/search/+35.4404,43.2192/@35.4404,43.2192,14z?hl=en","Maplink2")</f>
        <v>Maplink2</v>
      </c>
      <c r="AV639" s="20" t="str">
        <f>HYPERLINK("http://www.bing.com/maps/?lvl=14&amp;sty=h&amp;cp=35.4404~43.2192&amp;sp=point.35.4404_43.2192","Maplink3")</f>
        <v>Maplink3</v>
      </c>
    </row>
    <row r="640" spans="1:48" s="19" customFormat="1" x14ac:dyDescent="0.25">
      <c r="A640" s="9">
        <v>21005</v>
      </c>
      <c r="B640" s="10" t="s">
        <v>22</v>
      </c>
      <c r="C640" s="10" t="s">
        <v>1339</v>
      </c>
      <c r="D640" s="10" t="s">
        <v>1342</v>
      </c>
      <c r="E640" s="10" t="s">
        <v>1343</v>
      </c>
      <c r="F640" s="10">
        <v>35.498500176599997</v>
      </c>
      <c r="G640" s="10">
        <v>43.237075432600001</v>
      </c>
      <c r="H640" s="11">
        <v>910</v>
      </c>
      <c r="I640" s="11">
        <v>5460</v>
      </c>
      <c r="J640" s="11"/>
      <c r="K640" s="11"/>
      <c r="L640" s="11">
        <v>15</v>
      </c>
      <c r="M640" s="11"/>
      <c r="N640" s="11"/>
      <c r="O640" s="11"/>
      <c r="P640" s="11">
        <v>95</v>
      </c>
      <c r="Q640" s="11"/>
      <c r="R640" s="11">
        <v>232</v>
      </c>
      <c r="S640" s="11"/>
      <c r="T640" s="11"/>
      <c r="U640" s="11"/>
      <c r="V640" s="11"/>
      <c r="W640" s="11"/>
      <c r="X640" s="11">
        <v>549</v>
      </c>
      <c r="Y640" s="11">
        <v>19</v>
      </c>
      <c r="Z640" s="11"/>
      <c r="AA640" s="11"/>
      <c r="AB640" s="11"/>
      <c r="AC640" s="11">
        <v>674</v>
      </c>
      <c r="AD640" s="11"/>
      <c r="AE640" s="11"/>
      <c r="AF640" s="11">
        <v>64</v>
      </c>
      <c r="AG640" s="11"/>
      <c r="AH640" s="11"/>
      <c r="AI640" s="11">
        <v>172</v>
      </c>
      <c r="AJ640" s="11"/>
      <c r="AK640" s="11"/>
      <c r="AL640" s="11"/>
      <c r="AM640" s="11"/>
      <c r="AN640" s="11">
        <v>413</v>
      </c>
      <c r="AO640" s="11">
        <v>306</v>
      </c>
      <c r="AP640" s="11">
        <v>185</v>
      </c>
      <c r="AQ640" s="11">
        <v>6</v>
      </c>
      <c r="AR640" s="11"/>
      <c r="AS640" s="11"/>
      <c r="AT640" s="20" t="str">
        <f>HYPERLINK("http://www.openstreetmap.org/?mlat=35.4985&amp;mlon=43.2371&amp;zoom=12#map=12/35.4985/43.2371","Maplink1")</f>
        <v>Maplink1</v>
      </c>
      <c r="AU640" s="20" t="str">
        <f>HYPERLINK("https://www.google.iq/maps/search/+35.4985,43.2371/@35.4985,43.2371,14z?hl=en","Maplink2")</f>
        <v>Maplink2</v>
      </c>
      <c r="AV640" s="20" t="str">
        <f>HYPERLINK("http://www.bing.com/maps/?lvl=14&amp;sty=h&amp;cp=35.4985~43.2371&amp;sp=point.35.4985_43.2371","Maplink3")</f>
        <v>Maplink3</v>
      </c>
    </row>
    <row r="641" spans="1:48" s="19" customFormat="1" x14ac:dyDescent="0.25">
      <c r="A641" s="9">
        <v>20392</v>
      </c>
      <c r="B641" s="10" t="s">
        <v>22</v>
      </c>
      <c r="C641" s="10" t="s">
        <v>1339</v>
      </c>
      <c r="D641" s="10" t="s">
        <v>1344</v>
      </c>
      <c r="E641" s="10" t="s">
        <v>1345</v>
      </c>
      <c r="F641" s="10">
        <v>35.610805999999997</v>
      </c>
      <c r="G641" s="10">
        <v>43.245241999999998</v>
      </c>
      <c r="H641" s="11">
        <v>160</v>
      </c>
      <c r="I641" s="11">
        <v>960</v>
      </c>
      <c r="J641" s="11"/>
      <c r="K641" s="11"/>
      <c r="L641" s="11"/>
      <c r="M641" s="11"/>
      <c r="N641" s="11"/>
      <c r="O641" s="11"/>
      <c r="P641" s="11">
        <v>22</v>
      </c>
      <c r="Q641" s="11"/>
      <c r="R641" s="11">
        <v>27</v>
      </c>
      <c r="S641" s="11"/>
      <c r="T641" s="11"/>
      <c r="U641" s="11"/>
      <c r="V641" s="11"/>
      <c r="W641" s="11"/>
      <c r="X641" s="11">
        <v>111</v>
      </c>
      <c r="Y641" s="11"/>
      <c r="Z641" s="11"/>
      <c r="AA641" s="11"/>
      <c r="AB641" s="11"/>
      <c r="AC641" s="11">
        <v>160</v>
      </c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>
        <v>101</v>
      </c>
      <c r="AO641" s="11">
        <v>59</v>
      </c>
      <c r="AP641" s="11"/>
      <c r="AQ641" s="11"/>
      <c r="AR641" s="11"/>
      <c r="AS641" s="11"/>
      <c r="AT641" s="20" t="str">
        <f>HYPERLINK("http://www.openstreetmap.org/?mlat=35.6108&amp;mlon=43.2452&amp;zoom=12#map=12/35.6108/43.2452","Maplink1")</f>
        <v>Maplink1</v>
      </c>
      <c r="AU641" s="20" t="str">
        <f>HYPERLINK("https://www.google.iq/maps/search/+35.6108,43.2452/@35.6108,43.2452,14z?hl=en","Maplink2")</f>
        <v>Maplink2</v>
      </c>
      <c r="AV641" s="20" t="str">
        <f>HYPERLINK("http://www.bing.com/maps/?lvl=14&amp;sty=h&amp;cp=35.6108~43.2452&amp;sp=point.35.6108_43.2452","Maplink3")</f>
        <v>Maplink3</v>
      </c>
    </row>
    <row r="642" spans="1:48" s="19" customFormat="1" x14ac:dyDescent="0.25">
      <c r="A642" s="9">
        <v>21002</v>
      </c>
      <c r="B642" s="10" t="s">
        <v>22</v>
      </c>
      <c r="C642" s="10" t="s">
        <v>1339</v>
      </c>
      <c r="D642" s="10" t="s">
        <v>1346</v>
      </c>
      <c r="E642" s="10" t="s">
        <v>1347</v>
      </c>
      <c r="F642" s="10">
        <v>35.392522</v>
      </c>
      <c r="G642" s="10">
        <v>43.259435000000003</v>
      </c>
      <c r="H642" s="11">
        <v>145</v>
      </c>
      <c r="I642" s="11">
        <v>870</v>
      </c>
      <c r="J642" s="11"/>
      <c r="K642" s="11"/>
      <c r="L642" s="11"/>
      <c r="M642" s="11"/>
      <c r="N642" s="11"/>
      <c r="O642" s="11"/>
      <c r="P642" s="11">
        <v>32</v>
      </c>
      <c r="Q642" s="11"/>
      <c r="R642" s="11">
        <v>25</v>
      </c>
      <c r="S642" s="11"/>
      <c r="T642" s="11"/>
      <c r="U642" s="11"/>
      <c r="V642" s="11"/>
      <c r="W642" s="11"/>
      <c r="X642" s="11">
        <v>88</v>
      </c>
      <c r="Y642" s="11"/>
      <c r="Z642" s="11"/>
      <c r="AA642" s="11"/>
      <c r="AB642" s="11"/>
      <c r="AC642" s="11">
        <v>145</v>
      </c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>
        <v>90</v>
      </c>
      <c r="AO642" s="11">
        <v>55</v>
      </c>
      <c r="AP642" s="11"/>
      <c r="AQ642" s="11"/>
      <c r="AR642" s="11"/>
      <c r="AS642" s="11"/>
      <c r="AT642" s="20" t="str">
        <f>HYPERLINK("http://www.openstreetmap.org/?mlat=35.3925&amp;mlon=43.2594&amp;zoom=12#map=12/35.3925/43.2594","Maplink1")</f>
        <v>Maplink1</v>
      </c>
      <c r="AU642" s="20" t="str">
        <f>HYPERLINK("https://www.google.iq/maps/search/+35.3925,43.2594/@35.3925,43.2594,14z?hl=en","Maplink2")</f>
        <v>Maplink2</v>
      </c>
      <c r="AV642" s="20" t="str">
        <f>HYPERLINK("http://www.bing.com/maps/?lvl=14&amp;sty=h&amp;cp=35.3925~43.2594&amp;sp=point.35.3925_43.2594","Maplink3")</f>
        <v>Maplink3</v>
      </c>
    </row>
    <row r="643" spans="1:48" s="19" customFormat="1" x14ac:dyDescent="0.25">
      <c r="A643" s="9">
        <v>24667</v>
      </c>
      <c r="B643" s="10" t="s">
        <v>22</v>
      </c>
      <c r="C643" s="10" t="s">
        <v>1339</v>
      </c>
      <c r="D643" s="10" t="s">
        <v>1348</v>
      </c>
      <c r="E643" s="10" t="s">
        <v>1349</v>
      </c>
      <c r="F643" s="10">
        <v>35.474212999999999</v>
      </c>
      <c r="G643" s="10">
        <v>43.239139999999999</v>
      </c>
      <c r="H643" s="11">
        <v>103</v>
      </c>
      <c r="I643" s="11">
        <v>618</v>
      </c>
      <c r="J643" s="11"/>
      <c r="K643" s="11"/>
      <c r="L643" s="11"/>
      <c r="M643" s="11"/>
      <c r="N643" s="11"/>
      <c r="O643" s="11"/>
      <c r="P643" s="11">
        <v>18</v>
      </c>
      <c r="Q643" s="11"/>
      <c r="R643" s="11"/>
      <c r="S643" s="11"/>
      <c r="T643" s="11"/>
      <c r="U643" s="11"/>
      <c r="V643" s="11"/>
      <c r="W643" s="11"/>
      <c r="X643" s="11">
        <v>85</v>
      </c>
      <c r="Y643" s="11"/>
      <c r="Z643" s="11"/>
      <c r="AA643" s="11"/>
      <c r="AB643" s="11"/>
      <c r="AC643" s="11">
        <v>103</v>
      </c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>
        <v>96</v>
      </c>
      <c r="AO643" s="11">
        <v>7</v>
      </c>
      <c r="AP643" s="11"/>
      <c r="AQ643" s="11"/>
      <c r="AR643" s="11"/>
      <c r="AS643" s="11"/>
      <c r="AT643" s="20" t="str">
        <f>HYPERLINK("http://www.openstreetmap.org/?mlat=35.4742&amp;mlon=43.2391&amp;zoom=12#map=12/35.4742/43.2391","Maplink1")</f>
        <v>Maplink1</v>
      </c>
      <c r="AU643" s="20" t="str">
        <f>HYPERLINK("https://www.google.iq/maps/search/+35.4742,43.2391/@35.4742,43.2391,14z?hl=en","Maplink2")</f>
        <v>Maplink2</v>
      </c>
      <c r="AV643" s="20" t="str">
        <f>HYPERLINK("http://www.bing.com/maps/?lvl=14&amp;sty=h&amp;cp=35.4742~43.2391&amp;sp=point.35.4742_43.2391","Maplink3")</f>
        <v>Maplink3</v>
      </c>
    </row>
    <row r="644" spans="1:48" s="19" customFormat="1" x14ac:dyDescent="0.25">
      <c r="A644" s="9">
        <v>20389</v>
      </c>
      <c r="B644" s="10" t="s">
        <v>22</v>
      </c>
      <c r="C644" s="10" t="s">
        <v>1339</v>
      </c>
      <c r="D644" s="10" t="s">
        <v>1350</v>
      </c>
      <c r="E644" s="10" t="s">
        <v>1351</v>
      </c>
      <c r="F644" s="10">
        <v>35.630723862700002</v>
      </c>
      <c r="G644" s="10">
        <v>43.225923059000003</v>
      </c>
      <c r="H644" s="11">
        <v>233</v>
      </c>
      <c r="I644" s="11">
        <v>1398</v>
      </c>
      <c r="J644" s="11"/>
      <c r="K644" s="11"/>
      <c r="L644" s="11"/>
      <c r="M644" s="11"/>
      <c r="N644" s="11"/>
      <c r="O644" s="11"/>
      <c r="P644" s="11">
        <v>19</v>
      </c>
      <c r="Q644" s="11"/>
      <c r="R644" s="11">
        <v>40</v>
      </c>
      <c r="S644" s="11"/>
      <c r="T644" s="11"/>
      <c r="U644" s="11"/>
      <c r="V644" s="11"/>
      <c r="W644" s="11"/>
      <c r="X644" s="11">
        <v>174</v>
      </c>
      <c r="Y644" s="11"/>
      <c r="Z644" s="11"/>
      <c r="AA644" s="11"/>
      <c r="AB644" s="11"/>
      <c r="AC644" s="11">
        <v>233</v>
      </c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>
        <v>112</v>
      </c>
      <c r="AO644" s="11">
        <v>121</v>
      </c>
      <c r="AP644" s="11"/>
      <c r="AQ644" s="11"/>
      <c r="AR644" s="11"/>
      <c r="AS644" s="11"/>
      <c r="AT644" s="20" t="str">
        <f>HYPERLINK("http://www.openstreetmap.org/?mlat=35.6307&amp;mlon=43.2259&amp;zoom=12#map=12/35.6307/43.2259","Maplink1")</f>
        <v>Maplink1</v>
      </c>
      <c r="AU644" s="20" t="str">
        <f>HYPERLINK("https://www.google.iq/maps/search/+35.6307,43.2259/@35.6307,43.2259,14z?hl=en","Maplink2")</f>
        <v>Maplink2</v>
      </c>
      <c r="AV644" s="20" t="str">
        <f>HYPERLINK("http://www.bing.com/maps/?lvl=14&amp;sty=h&amp;cp=35.6307~43.2259&amp;sp=point.35.6307_43.2259","Maplink3")</f>
        <v>Maplink3</v>
      </c>
    </row>
    <row r="645" spans="1:48" s="19" customFormat="1" x14ac:dyDescent="0.25">
      <c r="A645" s="9">
        <v>29650</v>
      </c>
      <c r="B645" s="10" t="s">
        <v>22</v>
      </c>
      <c r="C645" s="10" t="s">
        <v>1339</v>
      </c>
      <c r="D645" s="10" t="s">
        <v>1352</v>
      </c>
      <c r="E645" s="10" t="s">
        <v>1353</v>
      </c>
      <c r="F645" s="10">
        <v>35.588102795399998</v>
      </c>
      <c r="G645" s="10">
        <v>43.240881109299998</v>
      </c>
      <c r="H645" s="11">
        <v>286</v>
      </c>
      <c r="I645" s="11">
        <v>1716</v>
      </c>
      <c r="J645" s="11"/>
      <c r="K645" s="11"/>
      <c r="L645" s="11">
        <v>24</v>
      </c>
      <c r="M645" s="11">
        <v>10</v>
      </c>
      <c r="N645" s="11"/>
      <c r="O645" s="11"/>
      <c r="P645" s="11">
        <v>43</v>
      </c>
      <c r="Q645" s="11"/>
      <c r="R645" s="11">
        <v>92</v>
      </c>
      <c r="S645" s="11"/>
      <c r="T645" s="11"/>
      <c r="U645" s="11"/>
      <c r="V645" s="11"/>
      <c r="W645" s="11"/>
      <c r="X645" s="11">
        <v>110</v>
      </c>
      <c r="Y645" s="11">
        <v>7</v>
      </c>
      <c r="Z645" s="11"/>
      <c r="AA645" s="11"/>
      <c r="AB645" s="11"/>
      <c r="AC645" s="11">
        <v>262</v>
      </c>
      <c r="AD645" s="11"/>
      <c r="AE645" s="11"/>
      <c r="AF645" s="11">
        <v>20</v>
      </c>
      <c r="AG645" s="11"/>
      <c r="AH645" s="11"/>
      <c r="AI645" s="11">
        <v>4</v>
      </c>
      <c r="AJ645" s="11"/>
      <c r="AK645" s="11"/>
      <c r="AL645" s="11"/>
      <c r="AM645" s="11"/>
      <c r="AN645" s="11">
        <v>142</v>
      </c>
      <c r="AO645" s="11">
        <v>116</v>
      </c>
      <c r="AP645" s="11">
        <v>28</v>
      </c>
      <c r="AQ645" s="11"/>
      <c r="AR645" s="11"/>
      <c r="AS645" s="11"/>
      <c r="AT645" s="20" t="str">
        <f>HYPERLINK("http://www.openstreetmap.org/?mlat=35.5881&amp;mlon=43.2409&amp;zoom=12#map=12/35.5881/43.2409","Maplink1")</f>
        <v>Maplink1</v>
      </c>
      <c r="AU645" s="20" t="str">
        <f>HYPERLINK("https://www.google.iq/maps/search/+35.5881,43.2409/@35.5881,43.2409,14z?hl=en","Maplink2")</f>
        <v>Maplink2</v>
      </c>
      <c r="AV645" s="20" t="str">
        <f>HYPERLINK("http://www.bing.com/maps/?lvl=14&amp;sty=h&amp;cp=35.5881~43.2409&amp;sp=point.35.5881_43.2409","Maplink3")</f>
        <v>Maplink3</v>
      </c>
    </row>
    <row r="646" spans="1:48" s="19" customFormat="1" x14ac:dyDescent="0.25">
      <c r="A646" s="9">
        <v>29664</v>
      </c>
      <c r="B646" s="10" t="s">
        <v>22</v>
      </c>
      <c r="C646" s="10" t="s">
        <v>1339</v>
      </c>
      <c r="D646" s="10" t="s">
        <v>1354</v>
      </c>
      <c r="E646" s="10" t="s">
        <v>1355</v>
      </c>
      <c r="F646" s="10">
        <v>35.341248999999998</v>
      </c>
      <c r="G646" s="10">
        <v>43.272210000000001</v>
      </c>
      <c r="H646" s="11">
        <v>160</v>
      </c>
      <c r="I646" s="11">
        <v>960</v>
      </c>
      <c r="J646" s="11"/>
      <c r="K646" s="11"/>
      <c r="L646" s="11"/>
      <c r="M646" s="11"/>
      <c r="N646" s="11"/>
      <c r="O646" s="11"/>
      <c r="P646" s="11">
        <v>20</v>
      </c>
      <c r="Q646" s="11"/>
      <c r="R646" s="11"/>
      <c r="S646" s="11">
        <v>30</v>
      </c>
      <c r="T646" s="11"/>
      <c r="U646" s="11"/>
      <c r="V646" s="11"/>
      <c r="W646" s="11"/>
      <c r="X646" s="11">
        <v>70</v>
      </c>
      <c r="Y646" s="11">
        <v>40</v>
      </c>
      <c r="Z646" s="11"/>
      <c r="AA646" s="11"/>
      <c r="AB646" s="11"/>
      <c r="AC646" s="11">
        <v>75</v>
      </c>
      <c r="AD646" s="11">
        <v>10</v>
      </c>
      <c r="AE646" s="11"/>
      <c r="AF646" s="11">
        <v>5</v>
      </c>
      <c r="AG646" s="11"/>
      <c r="AH646" s="11"/>
      <c r="AI646" s="11">
        <v>70</v>
      </c>
      <c r="AJ646" s="11"/>
      <c r="AK646" s="11"/>
      <c r="AL646" s="11"/>
      <c r="AM646" s="11"/>
      <c r="AN646" s="11"/>
      <c r="AO646" s="11">
        <v>20</v>
      </c>
      <c r="AP646" s="11">
        <v>15</v>
      </c>
      <c r="AQ646" s="11">
        <v>25</v>
      </c>
      <c r="AR646" s="11">
        <v>20</v>
      </c>
      <c r="AS646" s="11">
        <v>80</v>
      </c>
      <c r="AT646" s="20" t="str">
        <f>HYPERLINK("http://www.openstreetmap.org/?mlat=35.3412&amp;mlon=43.2722&amp;zoom=12#map=12/35.3412/43.2722","Maplink1")</f>
        <v>Maplink1</v>
      </c>
      <c r="AU646" s="20" t="str">
        <f>HYPERLINK("https://www.google.iq/maps/search/+35.3412,43.2722/@35.3412,43.2722,14z?hl=en","Maplink2")</f>
        <v>Maplink2</v>
      </c>
      <c r="AV646" s="20" t="str">
        <f>HYPERLINK("http://www.bing.com/maps/?lvl=14&amp;sty=h&amp;cp=35.3412~43.2722&amp;sp=point.35.3412_43.2722","Maplink3")</f>
        <v>Maplink3</v>
      </c>
    </row>
    <row r="647" spans="1:48" s="19" customFormat="1" x14ac:dyDescent="0.25">
      <c r="A647" s="9">
        <v>21955</v>
      </c>
      <c r="B647" s="10" t="s">
        <v>22</v>
      </c>
      <c r="C647" s="10" t="s">
        <v>1339</v>
      </c>
      <c r="D647" s="10" t="s">
        <v>1356</v>
      </c>
      <c r="E647" s="10" t="s">
        <v>1357</v>
      </c>
      <c r="F647" s="10">
        <v>35.4811504368</v>
      </c>
      <c r="G647" s="10">
        <v>43.242843801799999</v>
      </c>
      <c r="H647" s="11">
        <v>556</v>
      </c>
      <c r="I647" s="11">
        <v>3336</v>
      </c>
      <c r="J647" s="11"/>
      <c r="K647" s="11"/>
      <c r="L647" s="11">
        <v>11</v>
      </c>
      <c r="M647" s="11">
        <v>23</v>
      </c>
      <c r="N647" s="11"/>
      <c r="O647" s="11"/>
      <c r="P647" s="11">
        <v>74</v>
      </c>
      <c r="Q647" s="11"/>
      <c r="R647" s="11">
        <v>123</v>
      </c>
      <c r="S647" s="11"/>
      <c r="T647" s="11"/>
      <c r="U647" s="11"/>
      <c r="V647" s="11"/>
      <c r="W647" s="11"/>
      <c r="X647" s="11">
        <v>325</v>
      </c>
      <c r="Y647" s="11"/>
      <c r="Z647" s="11"/>
      <c r="AA647" s="11"/>
      <c r="AB647" s="11"/>
      <c r="AC647" s="11">
        <v>336</v>
      </c>
      <c r="AD647" s="11"/>
      <c r="AE647" s="11"/>
      <c r="AF647" s="11">
        <v>20</v>
      </c>
      <c r="AG647" s="11"/>
      <c r="AH647" s="11"/>
      <c r="AI647" s="11">
        <v>130</v>
      </c>
      <c r="AJ647" s="11"/>
      <c r="AK647" s="11">
        <v>70</v>
      </c>
      <c r="AL647" s="11"/>
      <c r="AM647" s="11"/>
      <c r="AN647" s="11">
        <v>311</v>
      </c>
      <c r="AO647" s="11">
        <v>127</v>
      </c>
      <c r="AP647" s="11">
        <v>109</v>
      </c>
      <c r="AQ647" s="11">
        <v>9</v>
      </c>
      <c r="AR647" s="11"/>
      <c r="AS647" s="11"/>
      <c r="AT647" s="20" t="str">
        <f>HYPERLINK("http://www.openstreetmap.org/?mlat=35.4812&amp;mlon=43.2428&amp;zoom=12#map=12/35.4812/43.2428","Maplink1")</f>
        <v>Maplink1</v>
      </c>
      <c r="AU647" s="20" t="str">
        <f>HYPERLINK("https://www.google.iq/maps/search/+35.4812,43.2428/@35.4812,43.2428,14z?hl=en","Maplink2")</f>
        <v>Maplink2</v>
      </c>
      <c r="AV647" s="20" t="str">
        <f>HYPERLINK("http://www.bing.com/maps/?lvl=14&amp;sty=h&amp;cp=35.4812~43.2428&amp;sp=point.35.4812_43.2428","Maplink3")</f>
        <v>Maplink3</v>
      </c>
    </row>
    <row r="648" spans="1:48" s="19" customFormat="1" x14ac:dyDescent="0.25">
      <c r="A648" s="9">
        <v>21347</v>
      </c>
      <c r="B648" s="10" t="s">
        <v>22</v>
      </c>
      <c r="C648" s="10" t="s">
        <v>1339</v>
      </c>
      <c r="D648" s="10" t="s">
        <v>1358</v>
      </c>
      <c r="E648" s="10" t="s">
        <v>1359</v>
      </c>
      <c r="F648" s="10">
        <v>35.4067073322</v>
      </c>
      <c r="G648" s="10">
        <v>43.213327680799999</v>
      </c>
      <c r="H648" s="11">
        <v>116</v>
      </c>
      <c r="I648" s="11">
        <v>696</v>
      </c>
      <c r="J648" s="11"/>
      <c r="K648" s="11"/>
      <c r="L648" s="11"/>
      <c r="M648" s="11"/>
      <c r="N648" s="11"/>
      <c r="O648" s="11"/>
      <c r="P648" s="11">
        <v>23</v>
      </c>
      <c r="Q648" s="11"/>
      <c r="R648" s="11">
        <v>14</v>
      </c>
      <c r="S648" s="11"/>
      <c r="T648" s="11"/>
      <c r="U648" s="11"/>
      <c r="V648" s="11"/>
      <c r="W648" s="11"/>
      <c r="X648" s="11">
        <v>79</v>
      </c>
      <c r="Y648" s="11"/>
      <c r="Z648" s="11"/>
      <c r="AA648" s="11"/>
      <c r="AB648" s="11"/>
      <c r="AC648" s="11">
        <v>116</v>
      </c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>
        <v>114</v>
      </c>
      <c r="AO648" s="11">
        <v>2</v>
      </c>
      <c r="AP648" s="11"/>
      <c r="AQ648" s="11"/>
      <c r="AR648" s="11"/>
      <c r="AS648" s="11"/>
      <c r="AT648" s="20" t="str">
        <f>HYPERLINK("http://www.openstreetmap.org/?mlat=35.4067&amp;mlon=43.2133&amp;zoom=12#map=12/35.4067/43.2133","Maplink1")</f>
        <v>Maplink1</v>
      </c>
      <c r="AU648" s="20" t="str">
        <f>HYPERLINK("https://www.google.iq/maps/search/+35.4067,43.2133/@35.4067,43.2133,14z?hl=en","Maplink2")</f>
        <v>Maplink2</v>
      </c>
      <c r="AV648" s="20" t="str">
        <f>HYPERLINK("http://www.bing.com/maps/?lvl=14&amp;sty=h&amp;cp=35.4067~43.2133&amp;sp=point.35.4067_43.2133","Maplink3")</f>
        <v>Maplink3</v>
      </c>
    </row>
    <row r="649" spans="1:48" s="19" customFormat="1" x14ac:dyDescent="0.25">
      <c r="A649" s="9">
        <v>29651</v>
      </c>
      <c r="B649" s="10" t="s">
        <v>22</v>
      </c>
      <c r="C649" s="10" t="s">
        <v>1339</v>
      </c>
      <c r="D649" s="10" t="s">
        <v>1360</v>
      </c>
      <c r="E649" s="10" t="s">
        <v>506</v>
      </c>
      <c r="F649" s="10">
        <v>35.4614628908</v>
      </c>
      <c r="G649" s="10">
        <v>43.2520072306</v>
      </c>
      <c r="H649" s="11">
        <v>76</v>
      </c>
      <c r="I649" s="11">
        <v>456</v>
      </c>
      <c r="J649" s="11"/>
      <c r="K649" s="11"/>
      <c r="L649" s="11"/>
      <c r="M649" s="11"/>
      <c r="N649" s="11"/>
      <c r="O649" s="11"/>
      <c r="P649" s="11">
        <v>25</v>
      </c>
      <c r="Q649" s="11"/>
      <c r="R649" s="11">
        <v>7</v>
      </c>
      <c r="S649" s="11"/>
      <c r="T649" s="11"/>
      <c r="U649" s="11"/>
      <c r="V649" s="11"/>
      <c r="W649" s="11"/>
      <c r="X649" s="11">
        <v>44</v>
      </c>
      <c r="Y649" s="11"/>
      <c r="Z649" s="11"/>
      <c r="AA649" s="11"/>
      <c r="AB649" s="11"/>
      <c r="AC649" s="11">
        <v>76</v>
      </c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>
        <v>36</v>
      </c>
      <c r="AO649" s="11">
        <v>40</v>
      </c>
      <c r="AP649" s="11"/>
      <c r="AQ649" s="11"/>
      <c r="AR649" s="11"/>
      <c r="AS649" s="11"/>
      <c r="AT649" s="20" t="str">
        <f>HYPERLINK("http://www.openstreetmap.org/?mlat=35.4615&amp;mlon=43.252&amp;zoom=12#map=12/35.4615/43.252","Maplink1")</f>
        <v>Maplink1</v>
      </c>
      <c r="AU649" s="20" t="str">
        <f>HYPERLINK("https://www.google.iq/maps/search/+35.4615,43.252/@35.4615,43.252,14z?hl=en","Maplink2")</f>
        <v>Maplink2</v>
      </c>
      <c r="AV649" s="20" t="str">
        <f>HYPERLINK("http://www.bing.com/maps/?lvl=14&amp;sty=h&amp;cp=35.4615~43.252&amp;sp=point.35.4615_43.252","Maplink3")</f>
        <v>Maplink3</v>
      </c>
    </row>
    <row r="650" spans="1:48" s="19" customFormat="1" x14ac:dyDescent="0.25">
      <c r="A650" s="9">
        <v>29653</v>
      </c>
      <c r="B650" s="10" t="s">
        <v>22</v>
      </c>
      <c r="C650" s="10" t="s">
        <v>1339</v>
      </c>
      <c r="D650" s="10" t="s">
        <v>1361</v>
      </c>
      <c r="E650" s="10" t="s">
        <v>228</v>
      </c>
      <c r="F650" s="10">
        <v>35.537074256799997</v>
      </c>
      <c r="G650" s="10">
        <v>43.228705089199998</v>
      </c>
      <c r="H650" s="11">
        <v>159</v>
      </c>
      <c r="I650" s="11">
        <v>954</v>
      </c>
      <c r="J650" s="11"/>
      <c r="K650" s="11"/>
      <c r="L650" s="11"/>
      <c r="M650" s="11"/>
      <c r="N650" s="11"/>
      <c r="O650" s="11"/>
      <c r="P650" s="11">
        <v>26</v>
      </c>
      <c r="Q650" s="11"/>
      <c r="R650" s="11">
        <v>39</v>
      </c>
      <c r="S650" s="11"/>
      <c r="T650" s="11"/>
      <c r="U650" s="11"/>
      <c r="V650" s="11"/>
      <c r="W650" s="11"/>
      <c r="X650" s="11">
        <v>88</v>
      </c>
      <c r="Y650" s="11">
        <v>6</v>
      </c>
      <c r="Z650" s="11"/>
      <c r="AA650" s="11"/>
      <c r="AB650" s="11"/>
      <c r="AC650" s="11">
        <v>148</v>
      </c>
      <c r="AD650" s="11"/>
      <c r="AE650" s="11"/>
      <c r="AF650" s="11"/>
      <c r="AG650" s="11"/>
      <c r="AH650" s="11"/>
      <c r="AI650" s="11">
        <v>11</v>
      </c>
      <c r="AJ650" s="11"/>
      <c r="AK650" s="11"/>
      <c r="AL650" s="11"/>
      <c r="AM650" s="11"/>
      <c r="AN650" s="11">
        <v>119</v>
      </c>
      <c r="AO650" s="11">
        <v>32</v>
      </c>
      <c r="AP650" s="11"/>
      <c r="AQ650" s="11">
        <v>8</v>
      </c>
      <c r="AR650" s="11"/>
      <c r="AS650" s="11"/>
      <c r="AT650" s="20" t="str">
        <f>HYPERLINK("http://www.openstreetmap.org/?mlat=35.5371&amp;mlon=43.2287&amp;zoom=12#map=12/35.5371/43.2287","Maplink1")</f>
        <v>Maplink1</v>
      </c>
      <c r="AU650" s="20" t="str">
        <f>HYPERLINK("https://www.google.iq/maps/search/+35.5371,43.2287/@35.5371,43.2287,14z?hl=en","Maplink2")</f>
        <v>Maplink2</v>
      </c>
      <c r="AV650" s="20" t="str">
        <f>HYPERLINK("http://www.bing.com/maps/?lvl=14&amp;sty=h&amp;cp=35.5371~43.2287&amp;sp=point.35.5371_43.2287","Maplink3")</f>
        <v>Maplink3</v>
      </c>
    </row>
    <row r="651" spans="1:48" s="19" customFormat="1" x14ac:dyDescent="0.25">
      <c r="A651" s="9">
        <v>21349</v>
      </c>
      <c r="B651" s="10" t="s">
        <v>22</v>
      </c>
      <c r="C651" s="10" t="s">
        <v>1339</v>
      </c>
      <c r="D651" s="10" t="s">
        <v>1362</v>
      </c>
      <c r="E651" s="10" t="s">
        <v>1363</v>
      </c>
      <c r="F651" s="10">
        <v>35.622395907700003</v>
      </c>
      <c r="G651" s="10">
        <v>43.240689809000003</v>
      </c>
      <c r="H651" s="11">
        <v>264</v>
      </c>
      <c r="I651" s="11">
        <v>1584</v>
      </c>
      <c r="J651" s="11"/>
      <c r="K651" s="11"/>
      <c r="L651" s="11"/>
      <c r="M651" s="11"/>
      <c r="N651" s="11"/>
      <c r="O651" s="11"/>
      <c r="P651" s="11">
        <v>35</v>
      </c>
      <c r="Q651" s="11"/>
      <c r="R651" s="11">
        <v>51</v>
      </c>
      <c r="S651" s="11"/>
      <c r="T651" s="11"/>
      <c r="U651" s="11"/>
      <c r="V651" s="11"/>
      <c r="W651" s="11"/>
      <c r="X651" s="11">
        <v>178</v>
      </c>
      <c r="Y651" s="11"/>
      <c r="Z651" s="11"/>
      <c r="AA651" s="11"/>
      <c r="AB651" s="11"/>
      <c r="AC651" s="11">
        <v>247</v>
      </c>
      <c r="AD651" s="11"/>
      <c r="AE651" s="11"/>
      <c r="AF651" s="11"/>
      <c r="AG651" s="11"/>
      <c r="AH651" s="11"/>
      <c r="AI651" s="11">
        <v>17</v>
      </c>
      <c r="AJ651" s="11"/>
      <c r="AK651" s="11"/>
      <c r="AL651" s="11"/>
      <c r="AM651" s="11"/>
      <c r="AN651" s="11">
        <v>253</v>
      </c>
      <c r="AO651" s="11">
        <v>11</v>
      </c>
      <c r="AP651" s="11"/>
      <c r="AQ651" s="11"/>
      <c r="AR651" s="11"/>
      <c r="AS651" s="11"/>
      <c r="AT651" s="20" t="str">
        <f>HYPERLINK("http://www.openstreetmap.org/?mlat=35.6224&amp;mlon=43.2407&amp;zoom=12#map=12/35.6224/43.2407","Maplink1")</f>
        <v>Maplink1</v>
      </c>
      <c r="AU651" s="20" t="str">
        <f>HYPERLINK("https://www.google.iq/maps/search/+35.6224,43.2407/@35.6224,43.2407,14z?hl=en","Maplink2")</f>
        <v>Maplink2</v>
      </c>
      <c r="AV651" s="20" t="str">
        <f>HYPERLINK("http://www.bing.com/maps/?lvl=14&amp;sty=h&amp;cp=35.6224~43.2407&amp;sp=point.35.6224_43.2407","Maplink3")</f>
        <v>Maplink3</v>
      </c>
    </row>
    <row r="652" spans="1:48" s="19" customFormat="1" x14ac:dyDescent="0.25">
      <c r="A652" s="9">
        <v>20395</v>
      </c>
      <c r="B652" s="10" t="s">
        <v>22</v>
      </c>
      <c r="C652" s="10" t="s">
        <v>1339</v>
      </c>
      <c r="D652" s="10" t="s">
        <v>1364</v>
      </c>
      <c r="E652" s="10" t="s">
        <v>1365</v>
      </c>
      <c r="F652" s="10">
        <v>35.538307000000003</v>
      </c>
      <c r="G652" s="10">
        <v>43.224873000000002</v>
      </c>
      <c r="H652" s="11">
        <v>266</v>
      </c>
      <c r="I652" s="11">
        <v>1596</v>
      </c>
      <c r="J652" s="11"/>
      <c r="K652" s="11"/>
      <c r="L652" s="11">
        <v>6</v>
      </c>
      <c r="M652" s="11">
        <v>10</v>
      </c>
      <c r="N652" s="11">
        <v>4</v>
      </c>
      <c r="O652" s="11"/>
      <c r="P652" s="11">
        <v>87</v>
      </c>
      <c r="Q652" s="11"/>
      <c r="R652" s="11">
        <v>40</v>
      </c>
      <c r="S652" s="11"/>
      <c r="T652" s="11"/>
      <c r="U652" s="11"/>
      <c r="V652" s="11"/>
      <c r="W652" s="11"/>
      <c r="X652" s="11">
        <v>117</v>
      </c>
      <c r="Y652" s="11">
        <v>2</v>
      </c>
      <c r="Z652" s="11"/>
      <c r="AA652" s="11"/>
      <c r="AB652" s="11"/>
      <c r="AC652" s="11">
        <v>254</v>
      </c>
      <c r="AD652" s="11"/>
      <c r="AE652" s="11"/>
      <c r="AF652" s="11"/>
      <c r="AG652" s="11"/>
      <c r="AH652" s="11"/>
      <c r="AI652" s="11">
        <v>12</v>
      </c>
      <c r="AJ652" s="11"/>
      <c r="AK652" s="11"/>
      <c r="AL652" s="11"/>
      <c r="AM652" s="11"/>
      <c r="AN652" s="11">
        <v>147</v>
      </c>
      <c r="AO652" s="11">
        <v>112</v>
      </c>
      <c r="AP652" s="11">
        <v>7</v>
      </c>
      <c r="AQ652" s="11"/>
      <c r="AR652" s="11"/>
      <c r="AS652" s="11"/>
      <c r="AT652" s="20" t="str">
        <f>HYPERLINK("http://www.openstreetmap.org/?mlat=35.5383&amp;mlon=43.2249&amp;zoom=12#map=12/35.5383/43.2249","Maplink1")</f>
        <v>Maplink1</v>
      </c>
      <c r="AU652" s="20" t="str">
        <f>HYPERLINK("https://www.google.iq/maps/search/+35.5383,43.2249/@35.5383,43.2249,14z?hl=en","Maplink2")</f>
        <v>Maplink2</v>
      </c>
      <c r="AV652" s="20" t="str">
        <f>HYPERLINK("http://www.bing.com/maps/?lvl=14&amp;sty=h&amp;cp=35.5383~43.2249&amp;sp=point.35.5383_43.2249","Maplink3")</f>
        <v>Maplink3</v>
      </c>
    </row>
    <row r="653" spans="1:48" s="19" customFormat="1" x14ac:dyDescent="0.25">
      <c r="A653" s="9">
        <v>21004</v>
      </c>
      <c r="B653" s="10" t="s">
        <v>22</v>
      </c>
      <c r="C653" s="10" t="s">
        <v>1339</v>
      </c>
      <c r="D653" s="10" t="s">
        <v>177</v>
      </c>
      <c r="E653" s="10" t="s">
        <v>178</v>
      </c>
      <c r="F653" s="10">
        <v>35.513067202599998</v>
      </c>
      <c r="G653" s="10">
        <v>43.239012437200003</v>
      </c>
      <c r="H653" s="11">
        <v>601</v>
      </c>
      <c r="I653" s="11">
        <v>3606</v>
      </c>
      <c r="J653" s="11"/>
      <c r="K653" s="11"/>
      <c r="L653" s="11">
        <v>33</v>
      </c>
      <c r="M653" s="11">
        <v>11</v>
      </c>
      <c r="N653" s="11">
        <v>13</v>
      </c>
      <c r="O653" s="11"/>
      <c r="P653" s="11">
        <v>70</v>
      </c>
      <c r="Q653" s="11"/>
      <c r="R653" s="11">
        <v>128</v>
      </c>
      <c r="S653" s="11"/>
      <c r="T653" s="11"/>
      <c r="U653" s="11"/>
      <c r="V653" s="11"/>
      <c r="W653" s="11"/>
      <c r="X653" s="11">
        <v>339</v>
      </c>
      <c r="Y653" s="11">
        <v>7</v>
      </c>
      <c r="Z653" s="11"/>
      <c r="AA653" s="11"/>
      <c r="AB653" s="11"/>
      <c r="AC653" s="11">
        <v>455</v>
      </c>
      <c r="AD653" s="11"/>
      <c r="AE653" s="11"/>
      <c r="AF653" s="11">
        <v>27</v>
      </c>
      <c r="AG653" s="11"/>
      <c r="AH653" s="11"/>
      <c r="AI653" s="11">
        <v>119</v>
      </c>
      <c r="AJ653" s="11"/>
      <c r="AK653" s="11"/>
      <c r="AL653" s="11"/>
      <c r="AM653" s="11"/>
      <c r="AN653" s="11">
        <v>305</v>
      </c>
      <c r="AO653" s="11">
        <v>248</v>
      </c>
      <c r="AP653" s="11">
        <v>10</v>
      </c>
      <c r="AQ653" s="11">
        <v>38</v>
      </c>
      <c r="AR653" s="11"/>
      <c r="AS653" s="11"/>
      <c r="AT653" s="20" t="str">
        <f>HYPERLINK("http://www.openstreetmap.org/?mlat=35.5131&amp;mlon=43.239&amp;zoom=12#map=12/35.5131/43.239","Maplink1")</f>
        <v>Maplink1</v>
      </c>
      <c r="AU653" s="20" t="str">
        <f>HYPERLINK("https://www.google.iq/maps/search/+35.5131,43.239/@35.5131,43.239,14z?hl=en","Maplink2")</f>
        <v>Maplink2</v>
      </c>
      <c r="AV653" s="20" t="str">
        <f>HYPERLINK("http://www.bing.com/maps/?lvl=14&amp;sty=h&amp;cp=35.5131~43.239&amp;sp=point.35.5131_43.239","Maplink3")</f>
        <v>Maplink3</v>
      </c>
    </row>
    <row r="654" spans="1:48" s="19" customFormat="1" x14ac:dyDescent="0.25">
      <c r="A654" s="9">
        <v>24210</v>
      </c>
      <c r="B654" s="10" t="s">
        <v>22</v>
      </c>
      <c r="C654" s="10" t="s">
        <v>1339</v>
      </c>
      <c r="D654" s="10" t="s">
        <v>1366</v>
      </c>
      <c r="E654" s="10" t="s">
        <v>1367</v>
      </c>
      <c r="F654" s="10">
        <v>35.520427161400001</v>
      </c>
      <c r="G654" s="10">
        <v>43.236999600600001</v>
      </c>
      <c r="H654" s="11">
        <v>321</v>
      </c>
      <c r="I654" s="11">
        <v>1926</v>
      </c>
      <c r="J654" s="11"/>
      <c r="K654" s="11"/>
      <c r="L654" s="11">
        <v>20</v>
      </c>
      <c r="M654" s="11"/>
      <c r="N654" s="11"/>
      <c r="O654" s="11"/>
      <c r="P654" s="11">
        <v>88</v>
      </c>
      <c r="Q654" s="11"/>
      <c r="R654" s="11">
        <v>83</v>
      </c>
      <c r="S654" s="11"/>
      <c r="T654" s="11"/>
      <c r="U654" s="11"/>
      <c r="V654" s="11"/>
      <c r="W654" s="11"/>
      <c r="X654" s="11">
        <v>125</v>
      </c>
      <c r="Y654" s="11">
        <v>5</v>
      </c>
      <c r="Z654" s="11"/>
      <c r="AA654" s="11"/>
      <c r="AB654" s="11"/>
      <c r="AC654" s="11">
        <v>162</v>
      </c>
      <c r="AD654" s="11"/>
      <c r="AE654" s="11"/>
      <c r="AF654" s="11">
        <v>22</v>
      </c>
      <c r="AG654" s="11"/>
      <c r="AH654" s="11"/>
      <c r="AI654" s="11">
        <v>127</v>
      </c>
      <c r="AJ654" s="11"/>
      <c r="AK654" s="11">
        <v>10</v>
      </c>
      <c r="AL654" s="11"/>
      <c r="AM654" s="11"/>
      <c r="AN654" s="11">
        <v>99</v>
      </c>
      <c r="AO654" s="11">
        <v>118</v>
      </c>
      <c r="AP654" s="11">
        <v>104</v>
      </c>
      <c r="AQ654" s="11"/>
      <c r="AR654" s="11"/>
      <c r="AS654" s="11"/>
      <c r="AT654" s="20" t="str">
        <f>HYPERLINK("http://www.openstreetmap.org/?mlat=35.5204&amp;mlon=43.237&amp;zoom=12#map=12/35.5204/43.237","Maplink1")</f>
        <v>Maplink1</v>
      </c>
      <c r="AU654" s="20" t="str">
        <f>HYPERLINK("https://www.google.iq/maps/search/+35.5204,43.237/@35.5204,43.237,14z?hl=en","Maplink2")</f>
        <v>Maplink2</v>
      </c>
      <c r="AV654" s="20" t="str">
        <f>HYPERLINK("http://www.bing.com/maps/?lvl=14&amp;sty=h&amp;cp=35.5204~43.237&amp;sp=point.35.5204_43.237","Maplink3")</f>
        <v>Maplink3</v>
      </c>
    </row>
    <row r="655" spans="1:48" s="19" customFormat="1" x14ac:dyDescent="0.25">
      <c r="A655" s="9">
        <v>29654</v>
      </c>
      <c r="B655" s="10" t="s">
        <v>22</v>
      </c>
      <c r="C655" s="10" t="s">
        <v>1339</v>
      </c>
      <c r="D655" s="10" t="s">
        <v>1368</v>
      </c>
      <c r="E655" s="10" t="s">
        <v>1369</v>
      </c>
      <c r="F655" s="10">
        <v>35.534980940099999</v>
      </c>
      <c r="G655" s="10">
        <v>43.223427897400001</v>
      </c>
      <c r="H655" s="11">
        <v>251</v>
      </c>
      <c r="I655" s="11">
        <v>1506</v>
      </c>
      <c r="J655" s="11"/>
      <c r="K655" s="11"/>
      <c r="L655" s="11"/>
      <c r="M655" s="11"/>
      <c r="N655" s="11"/>
      <c r="O655" s="11"/>
      <c r="P655" s="11">
        <v>43</v>
      </c>
      <c r="Q655" s="11"/>
      <c r="R655" s="11">
        <v>20</v>
      </c>
      <c r="S655" s="11"/>
      <c r="T655" s="11"/>
      <c r="U655" s="11"/>
      <c r="V655" s="11"/>
      <c r="W655" s="11"/>
      <c r="X655" s="11">
        <v>188</v>
      </c>
      <c r="Y655" s="11"/>
      <c r="Z655" s="11"/>
      <c r="AA655" s="11"/>
      <c r="AB655" s="11"/>
      <c r="AC655" s="11">
        <v>238</v>
      </c>
      <c r="AD655" s="11"/>
      <c r="AE655" s="11"/>
      <c r="AF655" s="11"/>
      <c r="AG655" s="11"/>
      <c r="AH655" s="11"/>
      <c r="AI655" s="11">
        <v>13</v>
      </c>
      <c r="AJ655" s="11"/>
      <c r="AK655" s="11"/>
      <c r="AL655" s="11"/>
      <c r="AM655" s="11"/>
      <c r="AN655" s="11">
        <v>153</v>
      </c>
      <c r="AO655" s="11">
        <v>91</v>
      </c>
      <c r="AP655" s="11">
        <v>7</v>
      </c>
      <c r="AQ655" s="11"/>
      <c r="AR655" s="11"/>
      <c r="AS655" s="11"/>
      <c r="AT655" s="20" t="str">
        <f>HYPERLINK("http://www.openstreetmap.org/?mlat=35.535&amp;mlon=43.2234&amp;zoom=12#map=12/35.535/43.2234","Maplink1")</f>
        <v>Maplink1</v>
      </c>
      <c r="AU655" s="20" t="str">
        <f>HYPERLINK("https://www.google.iq/maps/search/+35.535,43.2234/@35.535,43.2234,14z?hl=en","Maplink2")</f>
        <v>Maplink2</v>
      </c>
      <c r="AV655" s="20" t="str">
        <f>HYPERLINK("http://www.bing.com/maps/?lvl=14&amp;sty=h&amp;cp=35.535~43.2234&amp;sp=point.35.535_43.2234","Maplink3")</f>
        <v>Maplink3</v>
      </c>
    </row>
    <row r="656" spans="1:48" s="19" customFormat="1" x14ac:dyDescent="0.25">
      <c r="A656" s="9">
        <v>29652</v>
      </c>
      <c r="B656" s="10" t="s">
        <v>22</v>
      </c>
      <c r="C656" s="10" t="s">
        <v>1339</v>
      </c>
      <c r="D656" s="10" t="s">
        <v>1370</v>
      </c>
      <c r="E656" s="10" t="s">
        <v>666</v>
      </c>
      <c r="F656" s="10">
        <v>35.495645358300003</v>
      </c>
      <c r="G656" s="10">
        <v>43.241441870700001</v>
      </c>
      <c r="H656" s="11">
        <v>196</v>
      </c>
      <c r="I656" s="11">
        <v>1176</v>
      </c>
      <c r="J656" s="11"/>
      <c r="K656" s="11"/>
      <c r="L656" s="11"/>
      <c r="M656" s="11"/>
      <c r="N656" s="11"/>
      <c r="O656" s="11"/>
      <c r="P656" s="11">
        <v>44</v>
      </c>
      <c r="Q656" s="11"/>
      <c r="R656" s="11">
        <v>33</v>
      </c>
      <c r="S656" s="11"/>
      <c r="T656" s="11"/>
      <c r="U656" s="11"/>
      <c r="V656" s="11"/>
      <c r="W656" s="11"/>
      <c r="X656" s="11">
        <v>119</v>
      </c>
      <c r="Y656" s="11"/>
      <c r="Z656" s="11"/>
      <c r="AA656" s="11"/>
      <c r="AB656" s="11"/>
      <c r="AC656" s="11">
        <v>180</v>
      </c>
      <c r="AD656" s="11"/>
      <c r="AE656" s="11"/>
      <c r="AF656" s="11"/>
      <c r="AG656" s="11">
        <v>1</v>
      </c>
      <c r="AH656" s="11"/>
      <c r="AI656" s="11">
        <v>15</v>
      </c>
      <c r="AJ656" s="11"/>
      <c r="AK656" s="11"/>
      <c r="AL656" s="11"/>
      <c r="AM656" s="11"/>
      <c r="AN656" s="11">
        <v>153</v>
      </c>
      <c r="AO656" s="11">
        <v>18</v>
      </c>
      <c r="AP656" s="11"/>
      <c r="AQ656" s="11"/>
      <c r="AR656" s="11">
        <v>25</v>
      </c>
      <c r="AS656" s="11"/>
      <c r="AT656" s="20" t="str">
        <f>HYPERLINK("http://www.openstreetmap.org/?mlat=35.4956&amp;mlon=43.2414&amp;zoom=12#map=12/35.4956/43.2414","Maplink1")</f>
        <v>Maplink1</v>
      </c>
      <c r="AU656" s="20" t="str">
        <f>HYPERLINK("https://www.google.iq/maps/search/+35.4956,43.2414/@35.4956,43.2414,14z?hl=en","Maplink2")</f>
        <v>Maplink2</v>
      </c>
      <c r="AV656" s="20" t="str">
        <f>HYPERLINK("http://www.bing.com/maps/?lvl=14&amp;sty=h&amp;cp=35.4956~43.2414&amp;sp=point.35.4956_43.2414","Maplink3")</f>
        <v>Maplink3</v>
      </c>
    </row>
    <row r="657" spans="1:48" s="19" customFormat="1" x14ac:dyDescent="0.25">
      <c r="A657" s="9">
        <v>29655</v>
      </c>
      <c r="B657" s="10" t="s">
        <v>22</v>
      </c>
      <c r="C657" s="10" t="s">
        <v>1339</v>
      </c>
      <c r="D657" s="10" t="s">
        <v>1371</v>
      </c>
      <c r="E657" s="10" t="s">
        <v>1372</v>
      </c>
      <c r="F657" s="10">
        <v>35.522875835599997</v>
      </c>
      <c r="G657" s="10">
        <v>43.229303637699999</v>
      </c>
      <c r="H657" s="11">
        <v>351</v>
      </c>
      <c r="I657" s="11">
        <v>2106</v>
      </c>
      <c r="J657" s="11"/>
      <c r="K657" s="11"/>
      <c r="L657" s="11">
        <v>7</v>
      </c>
      <c r="M657" s="11">
        <v>12</v>
      </c>
      <c r="N657" s="11"/>
      <c r="O657" s="11"/>
      <c r="P657" s="11">
        <v>56</v>
      </c>
      <c r="Q657" s="11"/>
      <c r="R657" s="11">
        <v>78</v>
      </c>
      <c r="S657" s="11"/>
      <c r="T657" s="11"/>
      <c r="U657" s="11"/>
      <c r="V657" s="11"/>
      <c r="W657" s="11"/>
      <c r="X657" s="11">
        <v>195</v>
      </c>
      <c r="Y657" s="11">
        <v>3</v>
      </c>
      <c r="Z657" s="11"/>
      <c r="AA657" s="11"/>
      <c r="AB657" s="11"/>
      <c r="AC657" s="11">
        <v>129</v>
      </c>
      <c r="AD657" s="11"/>
      <c r="AE657" s="11"/>
      <c r="AF657" s="11">
        <v>67</v>
      </c>
      <c r="AG657" s="11"/>
      <c r="AH657" s="11"/>
      <c r="AI657" s="11">
        <v>145</v>
      </c>
      <c r="AJ657" s="11"/>
      <c r="AK657" s="11">
        <v>10</v>
      </c>
      <c r="AL657" s="11"/>
      <c r="AM657" s="11"/>
      <c r="AN657" s="11">
        <v>153</v>
      </c>
      <c r="AO657" s="11">
        <v>14</v>
      </c>
      <c r="AP657" s="11"/>
      <c r="AQ657" s="11">
        <v>4</v>
      </c>
      <c r="AR657" s="11">
        <v>180</v>
      </c>
      <c r="AS657" s="11"/>
      <c r="AT657" s="20" t="str">
        <f>HYPERLINK("http://www.openstreetmap.org/?mlat=35.5229&amp;mlon=43.2293&amp;zoom=12#map=12/35.5229/43.2293","Maplink1")</f>
        <v>Maplink1</v>
      </c>
      <c r="AU657" s="20" t="str">
        <f>HYPERLINK("https://www.google.iq/maps/search/+35.5229,43.2293/@35.5229,43.2293,14z?hl=en","Maplink2")</f>
        <v>Maplink2</v>
      </c>
      <c r="AV657" s="20" t="str">
        <f>HYPERLINK("http://www.bing.com/maps/?lvl=14&amp;sty=h&amp;cp=35.5229~43.2293&amp;sp=point.35.5229_43.2293","Maplink3")</f>
        <v>Maplink3</v>
      </c>
    </row>
    <row r="658" spans="1:48" s="19" customFormat="1" x14ac:dyDescent="0.25">
      <c r="A658" s="9">
        <v>20403</v>
      </c>
      <c r="B658" s="10" t="s">
        <v>22</v>
      </c>
      <c r="C658" s="10" t="s">
        <v>1339</v>
      </c>
      <c r="D658" s="10" t="s">
        <v>1373</v>
      </c>
      <c r="E658" s="10" t="s">
        <v>1374</v>
      </c>
      <c r="F658" s="10">
        <v>35.561364615199999</v>
      </c>
      <c r="G658" s="10">
        <v>43.223127630999997</v>
      </c>
      <c r="H658" s="11">
        <v>196</v>
      </c>
      <c r="I658" s="11">
        <v>1176</v>
      </c>
      <c r="J658" s="11"/>
      <c r="K658" s="11"/>
      <c r="L658" s="11"/>
      <c r="M658" s="11"/>
      <c r="N658" s="11"/>
      <c r="O658" s="11"/>
      <c r="P658" s="11">
        <v>16</v>
      </c>
      <c r="Q658" s="11"/>
      <c r="R658" s="11">
        <v>15</v>
      </c>
      <c r="S658" s="11"/>
      <c r="T658" s="11"/>
      <c r="U658" s="11"/>
      <c r="V658" s="11"/>
      <c r="W658" s="11"/>
      <c r="X658" s="11">
        <v>165</v>
      </c>
      <c r="Y658" s="11"/>
      <c r="Z658" s="11"/>
      <c r="AA658" s="11"/>
      <c r="AB658" s="11"/>
      <c r="AC658" s="11">
        <v>196</v>
      </c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>
        <v>92</v>
      </c>
      <c r="AO658" s="11">
        <v>104</v>
      </c>
      <c r="AP658" s="11"/>
      <c r="AQ658" s="11"/>
      <c r="AR658" s="11"/>
      <c r="AS658" s="11"/>
      <c r="AT658" s="20" t="str">
        <f>HYPERLINK("http://www.openstreetmap.org/?mlat=35.5614&amp;mlon=43.2231&amp;zoom=12#map=12/35.5614/43.2231","Maplink1")</f>
        <v>Maplink1</v>
      </c>
      <c r="AU658" s="20" t="str">
        <f>HYPERLINK("https://www.google.iq/maps/search/+35.5614,43.2231/@35.5614,43.2231,14z?hl=en","Maplink2")</f>
        <v>Maplink2</v>
      </c>
      <c r="AV658" s="20" t="str">
        <f>HYPERLINK("http://www.bing.com/maps/?lvl=14&amp;sty=h&amp;cp=35.5614~43.2231&amp;sp=point.35.5614_43.2231","Maplink3")</f>
        <v>Maplink3</v>
      </c>
    </row>
    <row r="659" spans="1:48" s="19" customFormat="1" x14ac:dyDescent="0.25">
      <c r="A659" s="9">
        <v>20991</v>
      </c>
      <c r="B659" s="10" t="s">
        <v>22</v>
      </c>
      <c r="C659" s="10" t="s">
        <v>1339</v>
      </c>
      <c r="D659" s="10" t="s">
        <v>1375</v>
      </c>
      <c r="E659" s="10" t="s">
        <v>1376</v>
      </c>
      <c r="F659" s="10">
        <v>35.468224999999997</v>
      </c>
      <c r="G659" s="10">
        <v>43.244653</v>
      </c>
      <c r="H659" s="11">
        <v>308</v>
      </c>
      <c r="I659" s="11">
        <v>1848</v>
      </c>
      <c r="J659" s="11"/>
      <c r="K659" s="11"/>
      <c r="L659" s="11">
        <v>12</v>
      </c>
      <c r="M659" s="11">
        <v>14</v>
      </c>
      <c r="N659" s="11"/>
      <c r="O659" s="11"/>
      <c r="P659" s="11">
        <v>53</v>
      </c>
      <c r="Q659" s="11"/>
      <c r="R659" s="11">
        <v>25</v>
      </c>
      <c r="S659" s="11"/>
      <c r="T659" s="11"/>
      <c r="U659" s="11"/>
      <c r="V659" s="11"/>
      <c r="W659" s="11"/>
      <c r="X659" s="11">
        <v>189</v>
      </c>
      <c r="Y659" s="11">
        <v>15</v>
      </c>
      <c r="Z659" s="11"/>
      <c r="AA659" s="11"/>
      <c r="AB659" s="11"/>
      <c r="AC659" s="11">
        <v>308</v>
      </c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>
        <v>208</v>
      </c>
      <c r="AO659" s="11">
        <v>100</v>
      </c>
      <c r="AP659" s="11"/>
      <c r="AQ659" s="11"/>
      <c r="AR659" s="11"/>
      <c r="AS659" s="11"/>
      <c r="AT659" s="20" t="str">
        <f>HYPERLINK("http://www.openstreetmap.org/?mlat=35.4682&amp;mlon=43.2447&amp;zoom=12#map=12/35.4682/43.2447","Maplink1")</f>
        <v>Maplink1</v>
      </c>
      <c r="AU659" s="20" t="str">
        <f>HYPERLINK("https://www.google.iq/maps/search/+35.4682,43.2447/@35.4682,43.2447,14z?hl=en","Maplink2")</f>
        <v>Maplink2</v>
      </c>
      <c r="AV659" s="20" t="str">
        <f>HYPERLINK("http://www.bing.com/maps/?lvl=14&amp;sty=h&amp;cp=35.4682~43.2447&amp;sp=point.35.4682_43.2447","Maplink3")</f>
        <v>Maplink3</v>
      </c>
    </row>
    <row r="660" spans="1:48" s="19" customFormat="1" x14ac:dyDescent="0.25">
      <c r="A660" s="9">
        <v>21006</v>
      </c>
      <c r="B660" s="10" t="s">
        <v>22</v>
      </c>
      <c r="C660" s="10" t="s">
        <v>1339</v>
      </c>
      <c r="D660" s="10" t="s">
        <v>1377</v>
      </c>
      <c r="E660" s="10" t="s">
        <v>1378</v>
      </c>
      <c r="F660" s="10">
        <v>35.51099936</v>
      </c>
      <c r="G660" s="10">
        <v>43.235405899699998</v>
      </c>
      <c r="H660" s="11">
        <v>925</v>
      </c>
      <c r="I660" s="11">
        <v>5550</v>
      </c>
      <c r="J660" s="11"/>
      <c r="K660" s="11"/>
      <c r="L660" s="11">
        <v>8</v>
      </c>
      <c r="M660" s="11">
        <v>18</v>
      </c>
      <c r="N660" s="11"/>
      <c r="O660" s="11"/>
      <c r="P660" s="11">
        <v>163</v>
      </c>
      <c r="Q660" s="11"/>
      <c r="R660" s="11">
        <v>237</v>
      </c>
      <c r="S660" s="11"/>
      <c r="T660" s="11"/>
      <c r="U660" s="11"/>
      <c r="V660" s="11"/>
      <c r="W660" s="11"/>
      <c r="X660" s="11">
        <v>484</v>
      </c>
      <c r="Y660" s="11">
        <v>15</v>
      </c>
      <c r="Z660" s="11"/>
      <c r="AA660" s="11"/>
      <c r="AB660" s="11"/>
      <c r="AC660" s="11">
        <v>886</v>
      </c>
      <c r="AD660" s="11"/>
      <c r="AE660" s="11"/>
      <c r="AF660" s="11"/>
      <c r="AG660" s="11"/>
      <c r="AH660" s="11"/>
      <c r="AI660" s="11">
        <v>39</v>
      </c>
      <c r="AJ660" s="11"/>
      <c r="AK660" s="11"/>
      <c r="AL660" s="11"/>
      <c r="AM660" s="11"/>
      <c r="AN660" s="11">
        <v>568</v>
      </c>
      <c r="AO660" s="11">
        <v>349</v>
      </c>
      <c r="AP660" s="11"/>
      <c r="AQ660" s="11">
        <v>8</v>
      </c>
      <c r="AR660" s="11"/>
      <c r="AS660" s="11"/>
      <c r="AT660" s="20" t="str">
        <f>HYPERLINK("http://www.openstreetmap.org/?mlat=35.511&amp;mlon=43.2354&amp;zoom=12#map=12/35.511/43.2354","Maplink1")</f>
        <v>Maplink1</v>
      </c>
      <c r="AU660" s="20" t="str">
        <f>HYPERLINK("https://www.google.iq/maps/search/+35.511,43.2354/@35.511,43.2354,14z?hl=en","Maplink2")</f>
        <v>Maplink2</v>
      </c>
      <c r="AV660" s="20" t="str">
        <f>HYPERLINK("http://www.bing.com/maps/?lvl=14&amp;sty=h&amp;cp=35.511~43.2354&amp;sp=point.35.511_43.2354","Maplink3")</f>
        <v>Maplink3</v>
      </c>
    </row>
    <row r="661" spans="1:48" s="19" customFormat="1" x14ac:dyDescent="0.25">
      <c r="A661" s="9">
        <v>29632</v>
      </c>
      <c r="B661" s="10" t="s">
        <v>22</v>
      </c>
      <c r="C661" s="10" t="s">
        <v>1379</v>
      </c>
      <c r="D661" s="10" t="s">
        <v>1380</v>
      </c>
      <c r="E661" s="10" t="s">
        <v>1381</v>
      </c>
      <c r="F661" s="10">
        <v>34.904136000000001</v>
      </c>
      <c r="G661" s="10">
        <v>43.527140000000003</v>
      </c>
      <c r="H661" s="11">
        <v>300</v>
      </c>
      <c r="I661" s="11">
        <v>1800</v>
      </c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>
        <v>300</v>
      </c>
      <c r="Y661" s="11"/>
      <c r="Z661" s="11"/>
      <c r="AA661" s="11"/>
      <c r="AB661" s="11"/>
      <c r="AC661" s="11">
        <v>300</v>
      </c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>
        <v>200</v>
      </c>
      <c r="AO661" s="11">
        <v>100</v>
      </c>
      <c r="AP661" s="11"/>
      <c r="AQ661" s="11"/>
      <c r="AR661" s="11"/>
      <c r="AS661" s="11"/>
      <c r="AT661" s="20" t="str">
        <f>HYPERLINK("http://www.openstreetmap.org/?mlat=34.9041&amp;mlon=43.5271&amp;zoom=12#map=12/34.9041/43.5271","Maplink1")</f>
        <v>Maplink1</v>
      </c>
      <c r="AU661" s="20" t="str">
        <f>HYPERLINK("https://www.google.iq/maps/search/+34.9041,43.5271/@34.9041,43.5271,14z?hl=en","Maplink2")</f>
        <v>Maplink2</v>
      </c>
      <c r="AV661" s="20" t="str">
        <f>HYPERLINK("http://www.bing.com/maps/?lvl=14&amp;sty=h&amp;cp=34.9041~43.5271&amp;sp=point.34.9041_43.5271","Maplink3")</f>
        <v>Maplink3</v>
      </c>
    </row>
    <row r="662" spans="1:48" s="19" customFormat="1" x14ac:dyDescent="0.25">
      <c r="A662" s="9">
        <v>23388</v>
      </c>
      <c r="B662" s="10" t="s">
        <v>22</v>
      </c>
      <c r="C662" s="10" t="s">
        <v>1379</v>
      </c>
      <c r="D662" s="10" t="s">
        <v>1382</v>
      </c>
      <c r="E662" s="10" t="s">
        <v>1383</v>
      </c>
      <c r="F662" s="10">
        <v>34.759223805700003</v>
      </c>
      <c r="G662" s="10">
        <v>43.601933000599999</v>
      </c>
      <c r="H662" s="11">
        <v>301</v>
      </c>
      <c r="I662" s="11">
        <v>1806</v>
      </c>
      <c r="J662" s="11"/>
      <c r="K662" s="11"/>
      <c r="L662" s="11">
        <v>3</v>
      </c>
      <c r="M662" s="11"/>
      <c r="N662" s="11"/>
      <c r="O662" s="11"/>
      <c r="P662" s="11">
        <v>50</v>
      </c>
      <c r="Q662" s="11"/>
      <c r="R662" s="11">
        <v>167</v>
      </c>
      <c r="S662" s="11"/>
      <c r="T662" s="11"/>
      <c r="U662" s="11"/>
      <c r="V662" s="11"/>
      <c r="W662" s="11"/>
      <c r="X662" s="11">
        <v>31</v>
      </c>
      <c r="Y662" s="11">
        <v>50</v>
      </c>
      <c r="Z662" s="11"/>
      <c r="AA662" s="11"/>
      <c r="AB662" s="11"/>
      <c r="AC662" s="11">
        <v>281</v>
      </c>
      <c r="AD662" s="11"/>
      <c r="AE662" s="11"/>
      <c r="AF662" s="11"/>
      <c r="AG662" s="11"/>
      <c r="AH662" s="11"/>
      <c r="AI662" s="11">
        <v>20</v>
      </c>
      <c r="AJ662" s="11"/>
      <c r="AK662" s="11"/>
      <c r="AL662" s="11"/>
      <c r="AM662" s="11"/>
      <c r="AN662" s="11">
        <v>270</v>
      </c>
      <c r="AO662" s="11"/>
      <c r="AP662" s="11">
        <v>14</v>
      </c>
      <c r="AQ662" s="11"/>
      <c r="AR662" s="11"/>
      <c r="AS662" s="11">
        <v>17</v>
      </c>
      <c r="AT662" s="20" t="str">
        <f>HYPERLINK("http://www.openstreetmap.org/?mlat=34.7592&amp;mlon=43.6019&amp;zoom=12#map=12/34.7592/43.6019","Maplink1")</f>
        <v>Maplink1</v>
      </c>
      <c r="AU662" s="20" t="str">
        <f>HYPERLINK("https://www.google.iq/maps/search/+34.7592,43.6019/@34.7592,43.6019,14z?hl=en","Maplink2")</f>
        <v>Maplink2</v>
      </c>
      <c r="AV662" s="20" t="str">
        <f>HYPERLINK("http://www.bing.com/maps/?lvl=14&amp;sty=h&amp;cp=34.7592~43.6019&amp;sp=point.34.7592_43.6019","Maplink3")</f>
        <v>Maplink3</v>
      </c>
    </row>
    <row r="663" spans="1:48" s="19" customFormat="1" x14ac:dyDescent="0.25">
      <c r="A663" s="9">
        <v>25921</v>
      </c>
      <c r="B663" s="10" t="s">
        <v>22</v>
      </c>
      <c r="C663" s="10" t="s">
        <v>1379</v>
      </c>
      <c r="D663" s="10" t="s">
        <v>1384</v>
      </c>
      <c r="E663" s="10" t="s">
        <v>1385</v>
      </c>
      <c r="F663" s="10">
        <v>34.84794823</v>
      </c>
      <c r="G663" s="10">
        <v>43.51412586</v>
      </c>
      <c r="H663" s="11">
        <v>1931</v>
      </c>
      <c r="I663" s="11">
        <v>11586</v>
      </c>
      <c r="J663" s="11"/>
      <c r="K663" s="11"/>
      <c r="L663" s="11">
        <v>5</v>
      </c>
      <c r="M663" s="11">
        <v>5</v>
      </c>
      <c r="N663" s="11"/>
      <c r="O663" s="11"/>
      <c r="P663" s="11">
        <v>1908</v>
      </c>
      <c r="Q663" s="11"/>
      <c r="R663" s="11">
        <v>10</v>
      </c>
      <c r="S663" s="11"/>
      <c r="T663" s="11"/>
      <c r="U663" s="11"/>
      <c r="V663" s="11"/>
      <c r="W663" s="11"/>
      <c r="X663" s="11">
        <v>3</v>
      </c>
      <c r="Y663" s="11"/>
      <c r="Z663" s="11"/>
      <c r="AA663" s="11"/>
      <c r="AB663" s="11"/>
      <c r="AC663" s="11">
        <v>1920</v>
      </c>
      <c r="AD663" s="11">
        <v>11</v>
      </c>
      <c r="AE663" s="11"/>
      <c r="AF663" s="11"/>
      <c r="AG663" s="11"/>
      <c r="AH663" s="11"/>
      <c r="AI663" s="11"/>
      <c r="AJ663" s="11"/>
      <c r="AK663" s="11"/>
      <c r="AL663" s="11"/>
      <c r="AM663" s="11">
        <v>90</v>
      </c>
      <c r="AN663" s="11">
        <v>1750</v>
      </c>
      <c r="AO663" s="11">
        <v>91</v>
      </c>
      <c r="AP663" s="11"/>
      <c r="AQ663" s="11"/>
      <c r="AR663" s="11"/>
      <c r="AS663" s="11"/>
      <c r="AT663" s="20" t="str">
        <f>HYPERLINK("http://www.openstreetmap.org/?mlat=34.8479&amp;mlon=43.5141&amp;zoom=12#map=12/34.8479/43.5141","Maplink1")</f>
        <v>Maplink1</v>
      </c>
      <c r="AU663" s="20" t="str">
        <f>HYPERLINK("https://www.google.iq/maps/search/+34.8479,43.5141/@34.8479,43.5141,14z?hl=en","Maplink2")</f>
        <v>Maplink2</v>
      </c>
      <c r="AV663" s="20" t="str">
        <f>HYPERLINK("http://www.bing.com/maps/?lvl=14&amp;sty=h&amp;cp=34.8479~43.5141&amp;sp=point.34.8479_43.5141","Maplink3")</f>
        <v>Maplink3</v>
      </c>
    </row>
    <row r="664" spans="1:48" s="19" customFormat="1" x14ac:dyDescent="0.25">
      <c r="A664" s="9">
        <v>20655</v>
      </c>
      <c r="B664" s="10" t="s">
        <v>22</v>
      </c>
      <c r="C664" s="10" t="s">
        <v>1379</v>
      </c>
      <c r="D664" s="10" t="s">
        <v>1386</v>
      </c>
      <c r="E664" s="10" t="s">
        <v>1387</v>
      </c>
      <c r="F664" s="10">
        <v>34.886529000000003</v>
      </c>
      <c r="G664" s="10">
        <v>43.489977000000003</v>
      </c>
      <c r="H664" s="11">
        <v>260</v>
      </c>
      <c r="I664" s="11">
        <v>1560</v>
      </c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>
        <v>260</v>
      </c>
      <c r="Y664" s="11"/>
      <c r="Z664" s="11"/>
      <c r="AA664" s="11"/>
      <c r="AB664" s="11"/>
      <c r="AC664" s="11">
        <v>260</v>
      </c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>
        <v>260</v>
      </c>
      <c r="AO664" s="11"/>
      <c r="AP664" s="11"/>
      <c r="AQ664" s="11"/>
      <c r="AR664" s="11"/>
      <c r="AS664" s="11"/>
      <c r="AT664" s="20" t="str">
        <f>HYPERLINK("http://www.openstreetmap.org/?mlat=34.8865&amp;mlon=43.49&amp;zoom=12#map=12/34.8865/43.49","Maplink1")</f>
        <v>Maplink1</v>
      </c>
      <c r="AU664" s="20" t="str">
        <f>HYPERLINK("https://www.google.iq/maps/search/+34.8865,43.49/@34.8865,43.49,14z?hl=en","Maplink2")</f>
        <v>Maplink2</v>
      </c>
      <c r="AV664" s="20" t="str">
        <f>HYPERLINK("http://www.bing.com/maps/?lvl=14&amp;sty=h&amp;cp=34.8865~43.49&amp;sp=point.34.8865_43.49","Maplink3")</f>
        <v>Maplink3</v>
      </c>
    </row>
    <row r="665" spans="1:48" s="19" customFormat="1" x14ac:dyDescent="0.25">
      <c r="A665" s="9">
        <v>25706</v>
      </c>
      <c r="B665" s="10" t="s">
        <v>22</v>
      </c>
      <c r="C665" s="10" t="s">
        <v>1379</v>
      </c>
      <c r="D665" s="10" t="s">
        <v>1388</v>
      </c>
      <c r="E665" s="10" t="s">
        <v>1389</v>
      </c>
      <c r="F665" s="10">
        <v>34.820187300000001</v>
      </c>
      <c r="G665" s="10">
        <v>43.5295816</v>
      </c>
      <c r="H665" s="11">
        <v>1276</v>
      </c>
      <c r="I665" s="11">
        <v>7656</v>
      </c>
      <c r="J665" s="11"/>
      <c r="K665" s="11"/>
      <c r="L665" s="11">
        <v>2</v>
      </c>
      <c r="M665" s="11"/>
      <c r="N665" s="11">
        <v>3</v>
      </c>
      <c r="O665" s="11"/>
      <c r="P665" s="11">
        <v>931</v>
      </c>
      <c r="Q665" s="11"/>
      <c r="R665" s="11">
        <v>50</v>
      </c>
      <c r="S665" s="11"/>
      <c r="T665" s="11"/>
      <c r="U665" s="11"/>
      <c r="V665" s="11"/>
      <c r="W665" s="11"/>
      <c r="X665" s="11">
        <v>140</v>
      </c>
      <c r="Y665" s="11">
        <v>150</v>
      </c>
      <c r="Z665" s="11"/>
      <c r="AA665" s="11"/>
      <c r="AB665" s="11"/>
      <c r="AC665" s="11">
        <v>1150</v>
      </c>
      <c r="AD665" s="11">
        <v>30</v>
      </c>
      <c r="AE665" s="11"/>
      <c r="AF665" s="11"/>
      <c r="AG665" s="11"/>
      <c r="AH665" s="11"/>
      <c r="AI665" s="11">
        <v>96</v>
      </c>
      <c r="AJ665" s="11"/>
      <c r="AK665" s="11"/>
      <c r="AL665" s="11"/>
      <c r="AM665" s="11">
        <v>15</v>
      </c>
      <c r="AN665" s="11">
        <v>1150</v>
      </c>
      <c r="AO665" s="11">
        <v>111</v>
      </c>
      <c r="AP665" s="11"/>
      <c r="AQ665" s="11"/>
      <c r="AR665" s="11"/>
      <c r="AS665" s="11"/>
      <c r="AT665" s="20" t="str">
        <f>HYPERLINK("http://www.openstreetmap.org/?mlat=34.8202&amp;mlon=43.5296&amp;zoom=12#map=12/34.8202/43.5296","Maplink1")</f>
        <v>Maplink1</v>
      </c>
      <c r="AU665" s="20" t="str">
        <f>HYPERLINK("https://www.google.iq/maps/search/+34.8202,43.5296/@34.8202,43.5296,14z?hl=en","Maplink2")</f>
        <v>Maplink2</v>
      </c>
      <c r="AV665" s="20" t="str">
        <f>HYPERLINK("http://www.bing.com/maps/?lvl=14&amp;sty=h&amp;cp=34.8202~43.5296&amp;sp=point.34.8202_43.5296","Maplink3")</f>
        <v>Maplink3</v>
      </c>
    </row>
    <row r="666" spans="1:48" s="19" customFormat="1" x14ac:dyDescent="0.25">
      <c r="A666" s="9">
        <v>20401</v>
      </c>
      <c r="B666" s="10" t="s">
        <v>22</v>
      </c>
      <c r="C666" s="10" t="s">
        <v>1379</v>
      </c>
      <c r="D666" s="10" t="s">
        <v>1390</v>
      </c>
      <c r="E666" s="10" t="s">
        <v>1391</v>
      </c>
      <c r="F666" s="10">
        <v>34.929166670000001</v>
      </c>
      <c r="G666" s="10">
        <v>43.493055560000002</v>
      </c>
      <c r="H666" s="11">
        <v>450</v>
      </c>
      <c r="I666" s="11">
        <v>2700</v>
      </c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>
        <v>450</v>
      </c>
      <c r="Y666" s="11"/>
      <c r="Z666" s="11"/>
      <c r="AA666" s="11"/>
      <c r="AB666" s="11"/>
      <c r="AC666" s="11">
        <v>450</v>
      </c>
      <c r="AD666" s="11"/>
      <c r="AE666" s="11"/>
      <c r="AF666" s="11"/>
      <c r="AG666" s="11"/>
      <c r="AH666" s="11"/>
      <c r="AI666" s="11"/>
      <c r="AJ666" s="11"/>
      <c r="AK666" s="11"/>
      <c r="AL666" s="11"/>
      <c r="AM666" s="11">
        <v>250</v>
      </c>
      <c r="AN666" s="11">
        <v>22</v>
      </c>
      <c r="AO666" s="11"/>
      <c r="AP666" s="11"/>
      <c r="AQ666" s="11"/>
      <c r="AR666" s="11"/>
      <c r="AS666" s="11">
        <v>178</v>
      </c>
      <c r="AT666" s="20" t="str">
        <f>HYPERLINK("http://www.openstreetmap.org/?mlat=34.9292&amp;mlon=43.4931&amp;zoom=12#map=12/34.9292/43.4931","Maplink1")</f>
        <v>Maplink1</v>
      </c>
      <c r="AU666" s="20" t="str">
        <f>HYPERLINK("https://www.google.iq/maps/search/+34.9292,43.4931/@34.9292,43.4931,14z?hl=en","Maplink2")</f>
        <v>Maplink2</v>
      </c>
      <c r="AV666" s="20" t="str">
        <f>HYPERLINK("http://www.bing.com/maps/?lvl=14&amp;sty=h&amp;cp=34.9292~43.4931&amp;sp=point.34.9292_43.4931","Maplink3")</f>
        <v>Maplink3</v>
      </c>
    </row>
    <row r="667" spans="1:48" s="19" customFormat="1" x14ac:dyDescent="0.25">
      <c r="A667" s="9">
        <v>22813</v>
      </c>
      <c r="B667" s="10" t="s">
        <v>22</v>
      </c>
      <c r="C667" s="10" t="s">
        <v>1379</v>
      </c>
      <c r="D667" s="10" t="s">
        <v>1392</v>
      </c>
      <c r="E667" s="10" t="s">
        <v>1393</v>
      </c>
      <c r="F667" s="10">
        <v>34.872193000000003</v>
      </c>
      <c r="G667" s="10">
        <v>43.520938000000001</v>
      </c>
      <c r="H667" s="11">
        <v>650</v>
      </c>
      <c r="I667" s="11">
        <v>3900</v>
      </c>
      <c r="J667" s="11"/>
      <c r="K667" s="11"/>
      <c r="L667" s="11"/>
      <c r="M667" s="11"/>
      <c r="N667" s="11"/>
      <c r="O667" s="11"/>
      <c r="P667" s="11">
        <v>150</v>
      </c>
      <c r="Q667" s="11"/>
      <c r="R667" s="11">
        <v>300</v>
      </c>
      <c r="S667" s="11"/>
      <c r="T667" s="11"/>
      <c r="U667" s="11"/>
      <c r="V667" s="11"/>
      <c r="W667" s="11"/>
      <c r="X667" s="11">
        <v>200</v>
      </c>
      <c r="Y667" s="11"/>
      <c r="Z667" s="11"/>
      <c r="AA667" s="11"/>
      <c r="AB667" s="11"/>
      <c r="AC667" s="11">
        <v>400</v>
      </c>
      <c r="AD667" s="11">
        <v>75</v>
      </c>
      <c r="AE667" s="11"/>
      <c r="AF667" s="11"/>
      <c r="AG667" s="11"/>
      <c r="AH667" s="11"/>
      <c r="AI667" s="11">
        <v>175</v>
      </c>
      <c r="AJ667" s="11"/>
      <c r="AK667" s="11"/>
      <c r="AL667" s="11"/>
      <c r="AM667" s="11">
        <v>350</v>
      </c>
      <c r="AN667" s="11">
        <v>300</v>
      </c>
      <c r="AO667" s="11"/>
      <c r="AP667" s="11"/>
      <c r="AQ667" s="11"/>
      <c r="AR667" s="11"/>
      <c r="AS667" s="11"/>
      <c r="AT667" s="20" t="str">
        <f>HYPERLINK("http://www.openstreetmap.org/?mlat=34.8722&amp;mlon=43.5209&amp;zoom=12#map=12/34.8722/43.5209","Maplink1")</f>
        <v>Maplink1</v>
      </c>
      <c r="AU667" s="20" t="str">
        <f>HYPERLINK("https://www.google.iq/maps/search/+34.8722,43.5209/@34.8722,43.5209,14z?hl=en","Maplink2")</f>
        <v>Maplink2</v>
      </c>
      <c r="AV667" s="20" t="str">
        <f>HYPERLINK("http://www.bing.com/maps/?lvl=14&amp;sty=h&amp;cp=34.8722~43.5209&amp;sp=point.34.8722_43.5209","Maplink3")</f>
        <v>Maplink3</v>
      </c>
    </row>
    <row r="668" spans="1:48" s="19" customFormat="1" x14ac:dyDescent="0.25">
      <c r="A668" s="9">
        <v>25742</v>
      </c>
      <c r="B668" s="10" t="s">
        <v>22</v>
      </c>
      <c r="C668" s="10" t="s">
        <v>1394</v>
      </c>
      <c r="D668" s="10" t="s">
        <v>1395</v>
      </c>
      <c r="E668" s="10" t="s">
        <v>1396</v>
      </c>
      <c r="F668" s="10">
        <v>34.032523079999997</v>
      </c>
      <c r="G668" s="10">
        <v>44.231025440000003</v>
      </c>
      <c r="H668" s="11">
        <v>375</v>
      </c>
      <c r="I668" s="11">
        <v>2250</v>
      </c>
      <c r="J668" s="11"/>
      <c r="K668" s="11"/>
      <c r="L668" s="11">
        <v>375</v>
      </c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>
        <v>375</v>
      </c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>
        <v>175</v>
      </c>
      <c r="AP668" s="11">
        <v>200</v>
      </c>
      <c r="AQ668" s="11"/>
      <c r="AR668" s="11"/>
      <c r="AS668" s="11"/>
      <c r="AT668" s="20" t="str">
        <f>HYPERLINK("http://www.openstreetmap.org/?mlat=34.0325&amp;mlon=44.231&amp;zoom=12#map=12/34.0325/44.231","Maplink1")</f>
        <v>Maplink1</v>
      </c>
      <c r="AU668" s="20" t="str">
        <f>HYPERLINK("https://www.google.iq/maps/search/+34.0325,44.231/@34.0325,44.231,14z?hl=en","Maplink2")</f>
        <v>Maplink2</v>
      </c>
      <c r="AV668" s="20" t="str">
        <f>HYPERLINK("http://www.bing.com/maps/?lvl=14&amp;sty=h&amp;cp=34.0325~44.231&amp;sp=point.34.0325_44.231","Maplink3")</f>
        <v>Maplink3</v>
      </c>
    </row>
    <row r="669" spans="1:48" s="19" customFormat="1" x14ac:dyDescent="0.25">
      <c r="A669" s="9">
        <v>20770</v>
      </c>
      <c r="B669" s="10" t="s">
        <v>22</v>
      </c>
      <c r="C669" s="10" t="s">
        <v>1394</v>
      </c>
      <c r="D669" s="10" t="s">
        <v>1397</v>
      </c>
      <c r="E669" s="10" t="s">
        <v>1398</v>
      </c>
      <c r="F669" s="10">
        <v>34.046609420000003</v>
      </c>
      <c r="G669" s="10">
        <v>44.219951469999998</v>
      </c>
      <c r="H669" s="11">
        <v>400</v>
      </c>
      <c r="I669" s="11">
        <v>2400</v>
      </c>
      <c r="J669" s="11"/>
      <c r="K669" s="11"/>
      <c r="L669" s="11">
        <v>300</v>
      </c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>
        <v>100</v>
      </c>
      <c r="Y669" s="11"/>
      <c r="Z669" s="11"/>
      <c r="AA669" s="11"/>
      <c r="AB669" s="11"/>
      <c r="AC669" s="11">
        <v>400</v>
      </c>
      <c r="AD669" s="11"/>
      <c r="AE669" s="11"/>
      <c r="AF669" s="11"/>
      <c r="AG669" s="11"/>
      <c r="AH669" s="11"/>
      <c r="AI669" s="11"/>
      <c r="AJ669" s="11"/>
      <c r="AK669" s="11"/>
      <c r="AL669" s="11"/>
      <c r="AM669" s="11">
        <v>300</v>
      </c>
      <c r="AN669" s="11">
        <v>75</v>
      </c>
      <c r="AO669" s="11">
        <v>25</v>
      </c>
      <c r="AP669" s="11"/>
      <c r="AQ669" s="11"/>
      <c r="AR669" s="11"/>
      <c r="AS669" s="11"/>
      <c r="AT669" s="20" t="str">
        <f>HYPERLINK("http://www.openstreetmap.org/?mlat=34.0466&amp;mlon=44.22&amp;zoom=12#map=12/34.0466/44.22","Maplink1")</f>
        <v>Maplink1</v>
      </c>
      <c r="AU669" s="20" t="str">
        <f>HYPERLINK("https://www.google.iq/maps/search/+34.0466,44.22/@34.0466,44.22,14z?hl=en","Maplink2")</f>
        <v>Maplink2</v>
      </c>
      <c r="AV669" s="20" t="str">
        <f>HYPERLINK("http://www.bing.com/maps/?lvl=14&amp;sty=h&amp;cp=34.0466~44.22&amp;sp=point.34.0466_44.22","Maplink3")</f>
        <v>Maplink3</v>
      </c>
    </row>
    <row r="670" spans="1:48" s="19" customFormat="1" x14ac:dyDescent="0.25">
      <c r="A670" s="9">
        <v>20921</v>
      </c>
      <c r="B670" s="10" t="s">
        <v>22</v>
      </c>
      <c r="C670" s="10" t="s">
        <v>1394</v>
      </c>
      <c r="D670" s="10" t="s">
        <v>1399</v>
      </c>
      <c r="E670" s="10" t="s">
        <v>1400</v>
      </c>
      <c r="F670" s="10">
        <v>34.023355899999999</v>
      </c>
      <c r="G670" s="10">
        <v>44.212505</v>
      </c>
      <c r="H670" s="11">
        <v>525</v>
      </c>
      <c r="I670" s="11">
        <v>3150</v>
      </c>
      <c r="J670" s="11"/>
      <c r="K670" s="11"/>
      <c r="L670" s="11">
        <v>162</v>
      </c>
      <c r="M670" s="11"/>
      <c r="N670" s="11"/>
      <c r="O670" s="11"/>
      <c r="P670" s="11">
        <v>80</v>
      </c>
      <c r="Q670" s="11"/>
      <c r="R670" s="11">
        <v>170</v>
      </c>
      <c r="S670" s="11"/>
      <c r="T670" s="11"/>
      <c r="U670" s="11"/>
      <c r="V670" s="11"/>
      <c r="W670" s="11"/>
      <c r="X670" s="11">
        <v>113</v>
      </c>
      <c r="Y670" s="11"/>
      <c r="Z670" s="11"/>
      <c r="AA670" s="11"/>
      <c r="AB670" s="11"/>
      <c r="AC670" s="11">
        <v>505</v>
      </c>
      <c r="AD670" s="11">
        <v>20</v>
      </c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>
        <v>325</v>
      </c>
      <c r="AP670" s="11">
        <v>200</v>
      </c>
      <c r="AQ670" s="11"/>
      <c r="AR670" s="11"/>
      <c r="AS670" s="11"/>
      <c r="AT670" s="20" t="str">
        <f>HYPERLINK("http://www.openstreetmap.org/?mlat=34.0234&amp;mlon=44.2125&amp;zoom=12#map=12/34.0234/44.2125","Maplink1")</f>
        <v>Maplink1</v>
      </c>
      <c r="AU670" s="20" t="str">
        <f>HYPERLINK("https://www.google.iq/maps/search/+34.0234,44.2125/@34.0234,44.2125,14z?hl=en","Maplink2")</f>
        <v>Maplink2</v>
      </c>
      <c r="AV670" s="20" t="str">
        <f>HYPERLINK("http://www.bing.com/maps/?lvl=14&amp;sty=h&amp;cp=34.0234~44.2125&amp;sp=point.34.0234_44.2125","Maplink3")</f>
        <v>Maplink3</v>
      </c>
    </row>
    <row r="671" spans="1:48" s="19" customFormat="1" x14ac:dyDescent="0.25">
      <c r="A671" s="9">
        <v>21484</v>
      </c>
      <c r="B671" s="10" t="s">
        <v>22</v>
      </c>
      <c r="C671" s="10" t="s">
        <v>1394</v>
      </c>
      <c r="D671" s="10" t="s">
        <v>1401</v>
      </c>
      <c r="E671" s="10" t="s">
        <v>1402</v>
      </c>
      <c r="F671" s="10">
        <v>34.004272999999998</v>
      </c>
      <c r="G671" s="10">
        <v>44.016961000000002</v>
      </c>
      <c r="H671" s="11">
        <v>143</v>
      </c>
      <c r="I671" s="11">
        <v>858</v>
      </c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>
        <v>143</v>
      </c>
      <c r="Y671" s="11"/>
      <c r="Z671" s="11"/>
      <c r="AA671" s="11"/>
      <c r="AB671" s="11"/>
      <c r="AC671" s="11">
        <v>143</v>
      </c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>
        <v>143</v>
      </c>
      <c r="AQ671" s="11"/>
      <c r="AR671" s="11"/>
      <c r="AS671" s="11"/>
      <c r="AT671" s="20" t="str">
        <f>HYPERLINK("http://www.openstreetmap.org/?mlat=34.0043&amp;mlon=44.017&amp;zoom=12#map=12/34.0043/44.017","Maplink1")</f>
        <v>Maplink1</v>
      </c>
      <c r="AU671" s="20" t="str">
        <f>HYPERLINK("https://www.google.iq/maps/search/+34.0043,44.017/@34.0043,44.017,14z?hl=en","Maplink2")</f>
        <v>Maplink2</v>
      </c>
      <c r="AV671" s="20" t="str">
        <f>HYPERLINK("http://www.bing.com/maps/?lvl=14&amp;sty=h&amp;cp=34.0043~44.017&amp;sp=point.34.0043_44.017","Maplink3")</f>
        <v>Maplink3</v>
      </c>
    </row>
    <row r="672" spans="1:48" s="19" customFormat="1" x14ac:dyDescent="0.25">
      <c r="A672" s="9">
        <v>20767</v>
      </c>
      <c r="B672" s="10" t="s">
        <v>22</v>
      </c>
      <c r="C672" s="10" t="s">
        <v>1394</v>
      </c>
      <c r="D672" s="10" t="s">
        <v>1403</v>
      </c>
      <c r="E672" s="10" t="s">
        <v>1404</v>
      </c>
      <c r="F672" s="10">
        <v>34.058075340000002</v>
      </c>
      <c r="G672" s="10">
        <v>44.217821950000001</v>
      </c>
      <c r="H672" s="11">
        <v>513</v>
      </c>
      <c r="I672" s="11">
        <v>3078</v>
      </c>
      <c r="J672" s="11"/>
      <c r="K672" s="11"/>
      <c r="L672" s="11"/>
      <c r="M672" s="11"/>
      <c r="N672" s="11"/>
      <c r="O672" s="11"/>
      <c r="P672" s="11"/>
      <c r="Q672" s="11"/>
      <c r="R672" s="11">
        <v>313</v>
      </c>
      <c r="S672" s="11"/>
      <c r="T672" s="11"/>
      <c r="U672" s="11"/>
      <c r="V672" s="11"/>
      <c r="W672" s="11"/>
      <c r="X672" s="11">
        <v>200</v>
      </c>
      <c r="Y672" s="11"/>
      <c r="Z672" s="11"/>
      <c r="AA672" s="11"/>
      <c r="AB672" s="11"/>
      <c r="AC672" s="11">
        <v>513</v>
      </c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>
        <v>150</v>
      </c>
      <c r="AO672" s="11">
        <v>200</v>
      </c>
      <c r="AP672" s="11">
        <v>163</v>
      </c>
      <c r="AQ672" s="11"/>
      <c r="AR672" s="11"/>
      <c r="AS672" s="11"/>
      <c r="AT672" s="20" t="str">
        <f>HYPERLINK("http://www.openstreetmap.org/?mlat=34.0581&amp;mlon=44.2178&amp;zoom=12#map=12/34.0581/44.2178","Maplink1")</f>
        <v>Maplink1</v>
      </c>
      <c r="AU672" s="20" t="str">
        <f>HYPERLINK("https://www.google.iq/maps/search/+34.0581,44.2178/@34.0581,44.2178,14z?hl=en","Maplink2")</f>
        <v>Maplink2</v>
      </c>
      <c r="AV672" s="20" t="str">
        <f>HYPERLINK("http://www.bing.com/maps/?lvl=14&amp;sty=h&amp;cp=34.0581~44.2178&amp;sp=point.34.0581_44.2178","Maplink3")</f>
        <v>Maplink3</v>
      </c>
    </row>
    <row r="673" spans="1:48" s="19" customFormat="1" x14ac:dyDescent="0.25">
      <c r="A673" s="9">
        <v>20773</v>
      </c>
      <c r="B673" s="10" t="s">
        <v>22</v>
      </c>
      <c r="C673" s="10" t="s">
        <v>1394</v>
      </c>
      <c r="D673" s="10" t="s">
        <v>1405</v>
      </c>
      <c r="E673" s="10" t="s">
        <v>1406</v>
      </c>
      <c r="F673" s="10">
        <v>34.026709490000002</v>
      </c>
      <c r="G673" s="10">
        <v>44.281843780000003</v>
      </c>
      <c r="H673" s="11">
        <v>487</v>
      </c>
      <c r="I673" s="11">
        <v>2922</v>
      </c>
      <c r="J673" s="11"/>
      <c r="K673" s="11"/>
      <c r="L673" s="11"/>
      <c r="M673" s="11"/>
      <c r="N673" s="11"/>
      <c r="O673" s="11"/>
      <c r="P673" s="11"/>
      <c r="Q673" s="11"/>
      <c r="R673" s="11">
        <v>187</v>
      </c>
      <c r="S673" s="11"/>
      <c r="T673" s="11"/>
      <c r="U673" s="11"/>
      <c r="V673" s="11"/>
      <c r="W673" s="11"/>
      <c r="X673" s="11">
        <v>300</v>
      </c>
      <c r="Y673" s="11"/>
      <c r="Z673" s="11"/>
      <c r="AA673" s="11"/>
      <c r="AB673" s="11"/>
      <c r="AC673" s="11">
        <v>487</v>
      </c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>
        <v>487</v>
      </c>
      <c r="AO673" s="11"/>
      <c r="AP673" s="11"/>
      <c r="AQ673" s="11"/>
      <c r="AR673" s="11"/>
      <c r="AS673" s="11"/>
      <c r="AT673" s="20" t="str">
        <f>HYPERLINK("http://www.openstreetmap.org/?mlat=34.0267&amp;mlon=44.2818&amp;zoom=12#map=12/34.0267/44.2818","Maplink1")</f>
        <v>Maplink1</v>
      </c>
      <c r="AU673" s="20" t="str">
        <f>HYPERLINK("https://www.google.iq/maps/search/+34.0267,44.2818/@34.0267,44.2818,14z?hl=en","Maplink2")</f>
        <v>Maplink2</v>
      </c>
      <c r="AV673" s="20" t="str">
        <f>HYPERLINK("http://www.bing.com/maps/?lvl=14&amp;sty=h&amp;cp=34.0267~44.2818&amp;sp=point.34.0267_44.2818","Maplink3")</f>
        <v>Maplink3</v>
      </c>
    </row>
    <row r="674" spans="1:48" s="19" customFormat="1" x14ac:dyDescent="0.25">
      <c r="A674" s="9">
        <v>29565</v>
      </c>
      <c r="B674" s="10" t="s">
        <v>22</v>
      </c>
      <c r="C674" s="10" t="s">
        <v>1394</v>
      </c>
      <c r="D674" s="10" t="s">
        <v>1407</v>
      </c>
      <c r="E674" s="10" t="s">
        <v>1408</v>
      </c>
      <c r="F674" s="10">
        <v>34.028011999999997</v>
      </c>
      <c r="G674" s="10">
        <v>44.242781999999998</v>
      </c>
      <c r="H674" s="11">
        <v>2953</v>
      </c>
      <c r="I674" s="11">
        <v>17718</v>
      </c>
      <c r="J674" s="11"/>
      <c r="K674" s="11"/>
      <c r="L674" s="11">
        <v>1000</v>
      </c>
      <c r="M674" s="11"/>
      <c r="N674" s="11"/>
      <c r="O674" s="11"/>
      <c r="P674" s="11"/>
      <c r="Q674" s="11"/>
      <c r="R674" s="11">
        <v>200</v>
      </c>
      <c r="S674" s="11"/>
      <c r="T674" s="11"/>
      <c r="U674" s="11"/>
      <c r="V674" s="11"/>
      <c r="W674" s="11"/>
      <c r="X674" s="11">
        <v>1753</v>
      </c>
      <c r="Y674" s="11"/>
      <c r="Z674" s="11"/>
      <c r="AA674" s="11"/>
      <c r="AB674" s="11"/>
      <c r="AC674" s="11">
        <v>2953</v>
      </c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>
        <v>400</v>
      </c>
      <c r="AO674" s="11">
        <v>400</v>
      </c>
      <c r="AP674" s="11">
        <v>1853</v>
      </c>
      <c r="AQ674" s="11"/>
      <c r="AR674" s="11"/>
      <c r="AS674" s="11">
        <v>300</v>
      </c>
      <c r="AT674" s="20" t="str">
        <f>HYPERLINK("http://www.openstreetmap.org/?mlat=34.028&amp;mlon=44.2428&amp;zoom=12#map=12/34.028/44.2428","Maplink1")</f>
        <v>Maplink1</v>
      </c>
      <c r="AU674" s="20" t="str">
        <f>HYPERLINK("https://www.google.iq/maps/search/+34.028,44.2428/@34.028,44.2428,14z?hl=en","Maplink2")</f>
        <v>Maplink2</v>
      </c>
      <c r="AV674" s="20" t="str">
        <f>HYPERLINK("http://www.bing.com/maps/?lvl=14&amp;sty=h&amp;cp=34.028~44.2428&amp;sp=point.34.028_44.2428","Maplink3")</f>
        <v>Maplink3</v>
      </c>
    </row>
    <row r="675" spans="1:48" s="19" customFormat="1" x14ac:dyDescent="0.25">
      <c r="A675" s="9">
        <v>23781</v>
      </c>
      <c r="B675" s="10" t="s">
        <v>22</v>
      </c>
      <c r="C675" s="10" t="s">
        <v>1409</v>
      </c>
      <c r="D675" s="10" t="s">
        <v>1410</v>
      </c>
      <c r="E675" s="10" t="s">
        <v>1411</v>
      </c>
      <c r="F675" s="10">
        <v>34.078364241899997</v>
      </c>
      <c r="G675" s="10">
        <v>44.054400203699998</v>
      </c>
      <c r="H675" s="11">
        <v>312</v>
      </c>
      <c r="I675" s="11">
        <v>1872</v>
      </c>
      <c r="J675" s="11"/>
      <c r="K675" s="11"/>
      <c r="L675" s="11"/>
      <c r="M675" s="11"/>
      <c r="N675" s="11"/>
      <c r="O675" s="11"/>
      <c r="P675" s="11">
        <v>11</v>
      </c>
      <c r="Q675" s="11"/>
      <c r="R675" s="11">
        <v>18</v>
      </c>
      <c r="S675" s="11"/>
      <c r="T675" s="11"/>
      <c r="U675" s="11"/>
      <c r="V675" s="11"/>
      <c r="W675" s="11"/>
      <c r="X675" s="11">
        <v>276</v>
      </c>
      <c r="Y675" s="11">
        <v>7</v>
      </c>
      <c r="Z675" s="11"/>
      <c r="AA675" s="11"/>
      <c r="AB675" s="11"/>
      <c r="AC675" s="11">
        <v>296</v>
      </c>
      <c r="AD675" s="11"/>
      <c r="AE675" s="11"/>
      <c r="AF675" s="11"/>
      <c r="AG675" s="11"/>
      <c r="AH675" s="11"/>
      <c r="AI675" s="11">
        <v>16</v>
      </c>
      <c r="AJ675" s="11"/>
      <c r="AK675" s="11"/>
      <c r="AL675" s="11"/>
      <c r="AM675" s="11">
        <v>216</v>
      </c>
      <c r="AN675" s="11"/>
      <c r="AO675" s="11">
        <v>71</v>
      </c>
      <c r="AP675" s="11">
        <v>25</v>
      </c>
      <c r="AQ675" s="11"/>
      <c r="AR675" s="11"/>
      <c r="AS675" s="11"/>
      <c r="AT675" s="20" t="str">
        <f>HYPERLINK("http://www.openstreetmap.org/?mlat=34.0784&amp;mlon=44.0544&amp;zoom=12#map=12/34.0784/44.0544","Maplink1")</f>
        <v>Maplink1</v>
      </c>
      <c r="AU675" s="20" t="str">
        <f>HYPERLINK("https://www.google.iq/maps/search/+34.0784,44.0544/@34.0784,44.0544,14z?hl=en","Maplink2")</f>
        <v>Maplink2</v>
      </c>
      <c r="AV675" s="20" t="str">
        <f>HYPERLINK("http://www.bing.com/maps/?lvl=14&amp;sty=h&amp;cp=34.0784~44.0544&amp;sp=point.34.0784_44.0544","Maplink3")</f>
        <v>Maplink3</v>
      </c>
    </row>
    <row r="676" spans="1:48" s="19" customFormat="1" x14ac:dyDescent="0.25">
      <c r="A676" s="9">
        <v>20695</v>
      </c>
      <c r="B676" s="10" t="s">
        <v>22</v>
      </c>
      <c r="C676" s="10" t="s">
        <v>1409</v>
      </c>
      <c r="D676" s="10" t="s">
        <v>1412</v>
      </c>
      <c r="E676" s="10" t="s">
        <v>1413</v>
      </c>
      <c r="F676" s="10">
        <v>34.309098212999999</v>
      </c>
      <c r="G676" s="10">
        <v>43.779920367499997</v>
      </c>
      <c r="H676" s="11">
        <v>488</v>
      </c>
      <c r="I676" s="11">
        <v>2928</v>
      </c>
      <c r="J676" s="11"/>
      <c r="K676" s="11"/>
      <c r="L676" s="11"/>
      <c r="M676" s="11"/>
      <c r="N676" s="11"/>
      <c r="O676" s="11"/>
      <c r="P676" s="11">
        <v>30</v>
      </c>
      <c r="Q676" s="11"/>
      <c r="R676" s="11">
        <v>33</v>
      </c>
      <c r="S676" s="11"/>
      <c r="T676" s="11"/>
      <c r="U676" s="11"/>
      <c r="V676" s="11"/>
      <c r="W676" s="11"/>
      <c r="X676" s="11">
        <v>390</v>
      </c>
      <c r="Y676" s="11">
        <v>35</v>
      </c>
      <c r="Z676" s="11"/>
      <c r="AA676" s="11"/>
      <c r="AB676" s="11"/>
      <c r="AC676" s="11">
        <v>476</v>
      </c>
      <c r="AD676" s="11">
        <v>12</v>
      </c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>
        <v>448</v>
      </c>
      <c r="AQ676" s="11">
        <v>40</v>
      </c>
      <c r="AR676" s="11"/>
      <c r="AS676" s="11"/>
      <c r="AT676" s="20" t="str">
        <f>HYPERLINK("http://www.openstreetmap.org/?mlat=34.3091&amp;mlon=43.7799&amp;zoom=12#map=12/34.3091/43.7799","Maplink1")</f>
        <v>Maplink1</v>
      </c>
      <c r="AU676" s="20" t="str">
        <f>HYPERLINK("https://www.google.iq/maps/search/+34.3091,43.7799/@34.3091,43.7799,14z?hl=en","Maplink2")</f>
        <v>Maplink2</v>
      </c>
      <c r="AV676" s="20" t="str">
        <f>HYPERLINK("http://www.bing.com/maps/?lvl=14&amp;sty=h&amp;cp=34.3091~43.7799&amp;sp=point.34.3091_43.7799","Maplink3")</f>
        <v>Maplink3</v>
      </c>
    </row>
    <row r="677" spans="1:48" s="19" customFormat="1" x14ac:dyDescent="0.25">
      <c r="A677" s="9">
        <v>20674</v>
      </c>
      <c r="B677" s="10" t="s">
        <v>22</v>
      </c>
      <c r="C677" s="10" t="s">
        <v>1409</v>
      </c>
      <c r="D677" s="10" t="s">
        <v>1414</v>
      </c>
      <c r="E677" s="10" t="s">
        <v>1415</v>
      </c>
      <c r="F677" s="10">
        <v>34.202021160000001</v>
      </c>
      <c r="G677" s="10">
        <v>43.811763470000002</v>
      </c>
      <c r="H677" s="11">
        <v>527</v>
      </c>
      <c r="I677" s="11">
        <v>3162</v>
      </c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>
        <v>34</v>
      </c>
      <c r="W677" s="11"/>
      <c r="X677" s="11">
        <v>493</v>
      </c>
      <c r="Y677" s="11"/>
      <c r="Z677" s="11"/>
      <c r="AA677" s="11"/>
      <c r="AB677" s="11"/>
      <c r="AC677" s="11">
        <v>527</v>
      </c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>
        <v>394</v>
      </c>
      <c r="AO677" s="11">
        <v>70</v>
      </c>
      <c r="AP677" s="11">
        <v>21</v>
      </c>
      <c r="AQ677" s="11"/>
      <c r="AR677" s="11"/>
      <c r="AS677" s="11">
        <v>42</v>
      </c>
      <c r="AT677" s="20" t="str">
        <f>HYPERLINK("http://www.openstreetmap.org/?mlat=34.202&amp;mlon=43.8118&amp;zoom=12#map=12/34.202/43.8118","Maplink1")</f>
        <v>Maplink1</v>
      </c>
      <c r="AU677" s="20" t="str">
        <f>HYPERLINK("https://www.google.iq/maps/search/+34.202,43.8118/@34.202,43.8118,14z?hl=en","Maplink2")</f>
        <v>Maplink2</v>
      </c>
      <c r="AV677" s="20" t="str">
        <f>HYPERLINK("http://www.bing.com/maps/?lvl=14&amp;sty=h&amp;cp=34.202~43.8118&amp;sp=point.34.202_43.8118","Maplink3")</f>
        <v>Maplink3</v>
      </c>
    </row>
    <row r="678" spans="1:48" s="19" customFormat="1" x14ac:dyDescent="0.25">
      <c r="A678" s="9">
        <v>20673</v>
      </c>
      <c r="B678" s="10" t="s">
        <v>22</v>
      </c>
      <c r="C678" s="10" t="s">
        <v>1409</v>
      </c>
      <c r="D678" s="10" t="s">
        <v>1416</v>
      </c>
      <c r="E678" s="10" t="s">
        <v>1417</v>
      </c>
      <c r="F678" s="10">
        <v>34.240887667999999</v>
      </c>
      <c r="G678" s="10">
        <v>43.883420275500001</v>
      </c>
      <c r="H678" s="11">
        <v>895</v>
      </c>
      <c r="I678" s="11">
        <v>5370</v>
      </c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>
        <v>895</v>
      </c>
      <c r="Y678" s="11"/>
      <c r="Z678" s="11"/>
      <c r="AA678" s="11"/>
      <c r="AB678" s="11"/>
      <c r="AC678" s="11">
        <v>781</v>
      </c>
      <c r="AD678" s="11"/>
      <c r="AE678" s="11"/>
      <c r="AF678" s="11">
        <v>59</v>
      </c>
      <c r="AG678" s="11"/>
      <c r="AH678" s="11"/>
      <c r="AI678" s="11"/>
      <c r="AJ678" s="11"/>
      <c r="AK678" s="11"/>
      <c r="AL678" s="11">
        <v>55</v>
      </c>
      <c r="AM678" s="11">
        <v>296</v>
      </c>
      <c r="AN678" s="11">
        <v>143</v>
      </c>
      <c r="AO678" s="11">
        <v>44</v>
      </c>
      <c r="AP678" s="11">
        <v>412</v>
      </c>
      <c r="AQ678" s="11"/>
      <c r="AR678" s="11"/>
      <c r="AS678" s="11"/>
      <c r="AT678" s="20" t="str">
        <f>HYPERLINK("http://www.openstreetmap.org/?mlat=34.2409&amp;mlon=43.8834&amp;zoom=12#map=12/34.2409/43.8834","Maplink1")</f>
        <v>Maplink1</v>
      </c>
      <c r="AU678" s="20" t="str">
        <f>HYPERLINK("https://www.google.iq/maps/search/+34.2409,43.8834/@34.2409,43.8834,14z?hl=en","Maplink2")</f>
        <v>Maplink2</v>
      </c>
      <c r="AV678" s="20" t="str">
        <f>HYPERLINK("http://www.bing.com/maps/?lvl=14&amp;sty=h&amp;cp=34.2409~43.8834&amp;sp=point.34.2409_43.8834","Maplink3")</f>
        <v>Maplink3</v>
      </c>
    </row>
    <row r="679" spans="1:48" s="19" customFormat="1" x14ac:dyDescent="0.25">
      <c r="A679" s="9">
        <v>23774</v>
      </c>
      <c r="B679" s="10" t="s">
        <v>22</v>
      </c>
      <c r="C679" s="10" t="s">
        <v>1409</v>
      </c>
      <c r="D679" s="10" t="s">
        <v>1418</v>
      </c>
      <c r="E679" s="10" t="s">
        <v>1419</v>
      </c>
      <c r="F679" s="10">
        <v>34.094749772900002</v>
      </c>
      <c r="G679" s="10">
        <v>44.053551200800001</v>
      </c>
      <c r="H679" s="11">
        <v>372</v>
      </c>
      <c r="I679" s="11">
        <v>2232</v>
      </c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>
        <v>372</v>
      </c>
      <c r="Y679" s="11"/>
      <c r="Z679" s="11"/>
      <c r="AA679" s="11"/>
      <c r="AB679" s="11"/>
      <c r="AC679" s="11">
        <v>372</v>
      </c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>
        <v>352</v>
      </c>
      <c r="AP679" s="11">
        <v>20</v>
      </c>
      <c r="AQ679" s="11"/>
      <c r="AR679" s="11"/>
      <c r="AS679" s="11"/>
      <c r="AT679" s="20" t="str">
        <f>HYPERLINK("http://www.openstreetmap.org/?mlat=34.0947&amp;mlon=44.0536&amp;zoom=12#map=12/34.0947/44.0536","Maplink1")</f>
        <v>Maplink1</v>
      </c>
      <c r="AU679" s="20" t="str">
        <f>HYPERLINK("https://www.google.iq/maps/search/+34.0947,44.0536/@34.0947,44.0536,14z?hl=en","Maplink2")</f>
        <v>Maplink2</v>
      </c>
      <c r="AV679" s="20" t="str">
        <f>HYPERLINK("http://www.bing.com/maps/?lvl=14&amp;sty=h&amp;cp=34.0947~44.0536&amp;sp=point.34.0947_44.0536","Maplink3")</f>
        <v>Maplink3</v>
      </c>
    </row>
    <row r="680" spans="1:48" s="19" customFormat="1" x14ac:dyDescent="0.25">
      <c r="A680" s="9">
        <v>23775</v>
      </c>
      <c r="B680" s="10" t="s">
        <v>22</v>
      </c>
      <c r="C680" s="10" t="s">
        <v>1409</v>
      </c>
      <c r="D680" s="10" t="s">
        <v>1420</v>
      </c>
      <c r="E680" s="10" t="s">
        <v>1421</v>
      </c>
      <c r="F680" s="10">
        <v>34.075383804700003</v>
      </c>
      <c r="G680" s="10">
        <v>44.089337903999997</v>
      </c>
      <c r="H680" s="11">
        <v>230</v>
      </c>
      <c r="I680" s="11">
        <v>1380</v>
      </c>
      <c r="J680" s="11"/>
      <c r="K680" s="11"/>
      <c r="L680" s="11"/>
      <c r="M680" s="11"/>
      <c r="N680" s="11"/>
      <c r="O680" s="11"/>
      <c r="P680" s="11">
        <v>12</v>
      </c>
      <c r="Q680" s="11"/>
      <c r="R680" s="11">
        <v>39</v>
      </c>
      <c r="S680" s="11"/>
      <c r="T680" s="11"/>
      <c r="U680" s="11"/>
      <c r="V680" s="11"/>
      <c r="W680" s="11"/>
      <c r="X680" s="11">
        <v>156</v>
      </c>
      <c r="Y680" s="11">
        <v>23</v>
      </c>
      <c r="Z680" s="11"/>
      <c r="AA680" s="11"/>
      <c r="AB680" s="11"/>
      <c r="AC680" s="11">
        <v>213</v>
      </c>
      <c r="AD680" s="11"/>
      <c r="AE680" s="11"/>
      <c r="AF680" s="11"/>
      <c r="AG680" s="11"/>
      <c r="AH680" s="11"/>
      <c r="AI680" s="11">
        <v>17</v>
      </c>
      <c r="AJ680" s="11"/>
      <c r="AK680" s="11"/>
      <c r="AL680" s="11"/>
      <c r="AM680" s="11">
        <v>160</v>
      </c>
      <c r="AN680" s="11">
        <v>32</v>
      </c>
      <c r="AO680" s="11">
        <v>38</v>
      </c>
      <c r="AP680" s="11"/>
      <c r="AQ680" s="11"/>
      <c r="AR680" s="11"/>
      <c r="AS680" s="11"/>
      <c r="AT680" s="20" t="str">
        <f>HYPERLINK("http://www.openstreetmap.org/?mlat=34.0754&amp;mlon=44.0893&amp;zoom=12#map=12/34.0754/44.0893","Maplink1")</f>
        <v>Maplink1</v>
      </c>
      <c r="AU680" s="20" t="str">
        <f>HYPERLINK("https://www.google.iq/maps/search/+34.0754,44.0893/@34.0754,44.0893,14z?hl=en","Maplink2")</f>
        <v>Maplink2</v>
      </c>
      <c r="AV680" s="20" t="str">
        <f>HYPERLINK("http://www.bing.com/maps/?lvl=14&amp;sty=h&amp;cp=34.0754~44.0893&amp;sp=point.34.0754_44.0893","Maplink3")</f>
        <v>Maplink3</v>
      </c>
    </row>
    <row r="681" spans="1:48" s="19" customFormat="1" x14ac:dyDescent="0.25">
      <c r="A681" s="9">
        <v>20752</v>
      </c>
      <c r="B681" s="10" t="s">
        <v>22</v>
      </c>
      <c r="C681" s="10" t="s">
        <v>1409</v>
      </c>
      <c r="D681" s="10" t="s">
        <v>1422</v>
      </c>
      <c r="E681" s="10" t="s">
        <v>1423</v>
      </c>
      <c r="F681" s="10">
        <v>34.368115000000003</v>
      </c>
      <c r="G681" s="10">
        <v>43.660998999999997</v>
      </c>
      <c r="H681" s="11">
        <v>1950</v>
      </c>
      <c r="I681" s="11">
        <v>11700</v>
      </c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>
        <v>1950</v>
      </c>
      <c r="Y681" s="11"/>
      <c r="Z681" s="11"/>
      <c r="AA681" s="11"/>
      <c r="AB681" s="11"/>
      <c r="AC681" s="11">
        <v>1950</v>
      </c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>
        <v>201</v>
      </c>
      <c r="AR681" s="11">
        <v>1736</v>
      </c>
      <c r="AS681" s="11">
        <v>13</v>
      </c>
      <c r="AT681" s="20" t="str">
        <f>HYPERLINK("http://www.openstreetmap.org/?mlat=34.3681&amp;mlon=43.661&amp;zoom=12#map=12/34.3681/43.661","Maplink1")</f>
        <v>Maplink1</v>
      </c>
      <c r="AU681" s="20" t="str">
        <f>HYPERLINK("https://www.google.iq/maps/search/+34.3681,43.661/@34.3681,43.661,14z?hl=en","Maplink2")</f>
        <v>Maplink2</v>
      </c>
      <c r="AV681" s="20" t="str">
        <f>HYPERLINK("http://www.bing.com/maps/?lvl=14&amp;sty=h&amp;cp=34.3681~43.661&amp;sp=point.34.3681_43.661","Maplink3")</f>
        <v>Maplink3</v>
      </c>
    </row>
    <row r="682" spans="1:48" s="19" customFormat="1" x14ac:dyDescent="0.25">
      <c r="A682" s="9">
        <v>25926</v>
      </c>
      <c r="B682" s="10" t="s">
        <v>22</v>
      </c>
      <c r="C682" s="10" t="s">
        <v>1409</v>
      </c>
      <c r="D682" s="10" t="s">
        <v>1424</v>
      </c>
      <c r="E682" s="10" t="s">
        <v>1425</v>
      </c>
      <c r="F682" s="10">
        <v>34.261302631299998</v>
      </c>
      <c r="G682" s="10">
        <v>43.876644177400003</v>
      </c>
      <c r="H682" s="11">
        <v>465</v>
      </c>
      <c r="I682" s="11">
        <v>2790</v>
      </c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>
        <v>465</v>
      </c>
      <c r="Y682" s="11"/>
      <c r="Z682" s="11"/>
      <c r="AA682" s="11"/>
      <c r="AB682" s="11"/>
      <c r="AC682" s="11">
        <v>435</v>
      </c>
      <c r="AD682" s="11"/>
      <c r="AE682" s="11"/>
      <c r="AF682" s="11"/>
      <c r="AG682" s="11">
        <v>30</v>
      </c>
      <c r="AH682" s="11"/>
      <c r="AI682" s="11"/>
      <c r="AJ682" s="11"/>
      <c r="AK682" s="11"/>
      <c r="AL682" s="11"/>
      <c r="AM682" s="11"/>
      <c r="AN682" s="11"/>
      <c r="AO682" s="11"/>
      <c r="AP682" s="11">
        <v>465</v>
      </c>
      <c r="AQ682" s="11"/>
      <c r="AR682" s="11"/>
      <c r="AS682" s="11"/>
      <c r="AT682" s="20" t="str">
        <f>HYPERLINK("http://www.openstreetmap.org/?mlat=34.2613&amp;mlon=43.8766&amp;zoom=12#map=12/34.2613/43.8766","Maplink1")</f>
        <v>Maplink1</v>
      </c>
      <c r="AU682" s="20" t="str">
        <f>HYPERLINK("https://www.google.iq/maps/search/+34.2613,43.8766/@34.2613,43.8766,14z?hl=en","Maplink2")</f>
        <v>Maplink2</v>
      </c>
      <c r="AV682" s="20" t="str">
        <f>HYPERLINK("http://www.bing.com/maps/?lvl=14&amp;sty=h&amp;cp=34.2613~43.8766&amp;sp=point.34.2613_43.8766","Maplink3")</f>
        <v>Maplink3</v>
      </c>
    </row>
    <row r="683" spans="1:48" s="19" customFormat="1" x14ac:dyDescent="0.25">
      <c r="A683" s="9">
        <v>29539</v>
      </c>
      <c r="B683" s="10" t="s">
        <v>22</v>
      </c>
      <c r="C683" s="10" t="s">
        <v>1409</v>
      </c>
      <c r="D683" s="10" t="s">
        <v>1426</v>
      </c>
      <c r="E683" s="10" t="s">
        <v>1427</v>
      </c>
      <c r="F683" s="10">
        <v>34.3685189495</v>
      </c>
      <c r="G683" s="10">
        <v>43.751954398999999</v>
      </c>
      <c r="H683" s="11">
        <v>2490</v>
      </c>
      <c r="I683" s="11">
        <v>14940</v>
      </c>
      <c r="J683" s="11"/>
      <c r="K683" s="11"/>
      <c r="L683" s="11">
        <v>215</v>
      </c>
      <c r="M683" s="11"/>
      <c r="N683" s="11"/>
      <c r="O683" s="11"/>
      <c r="P683" s="11">
        <v>23</v>
      </c>
      <c r="Q683" s="11"/>
      <c r="R683" s="11">
        <v>55</v>
      </c>
      <c r="S683" s="11"/>
      <c r="T683" s="11"/>
      <c r="U683" s="11"/>
      <c r="V683" s="11"/>
      <c r="W683" s="11"/>
      <c r="X683" s="11">
        <v>2167</v>
      </c>
      <c r="Y683" s="11">
        <v>30</v>
      </c>
      <c r="Z683" s="11"/>
      <c r="AA683" s="11"/>
      <c r="AB683" s="11"/>
      <c r="AC683" s="11">
        <v>2173</v>
      </c>
      <c r="AD683" s="11">
        <v>63</v>
      </c>
      <c r="AE683" s="11"/>
      <c r="AF683" s="11">
        <v>238</v>
      </c>
      <c r="AG683" s="11"/>
      <c r="AH683" s="11"/>
      <c r="AI683" s="11">
        <v>16</v>
      </c>
      <c r="AJ683" s="11"/>
      <c r="AK683" s="11"/>
      <c r="AL683" s="11"/>
      <c r="AM683" s="11">
        <v>1400</v>
      </c>
      <c r="AN683" s="11">
        <v>490</v>
      </c>
      <c r="AO683" s="11">
        <v>220</v>
      </c>
      <c r="AP683" s="11">
        <v>380</v>
      </c>
      <c r="AQ683" s="11"/>
      <c r="AR683" s="11"/>
      <c r="AS683" s="11"/>
      <c r="AT683" s="20" t="str">
        <f>HYPERLINK("http://www.openstreetmap.org/?mlat=34.3685&amp;mlon=43.752&amp;zoom=12#map=12/34.3685/43.752","Maplink1")</f>
        <v>Maplink1</v>
      </c>
      <c r="AU683" s="20" t="str">
        <f>HYPERLINK("https://www.google.iq/maps/search/+34.3685,43.752/@34.3685,43.752,14z?hl=en","Maplink2")</f>
        <v>Maplink2</v>
      </c>
      <c r="AV683" s="20" t="str">
        <f>HYPERLINK("http://www.bing.com/maps/?lvl=14&amp;sty=h&amp;cp=34.3685~43.752&amp;sp=point.34.3685_43.752","Maplink3")</f>
        <v>Maplink3</v>
      </c>
    </row>
    <row r="684" spans="1:48" s="19" customFormat="1" x14ac:dyDescent="0.25">
      <c r="A684" s="9">
        <v>23702</v>
      </c>
      <c r="B684" s="10" t="s">
        <v>22</v>
      </c>
      <c r="C684" s="10" t="s">
        <v>1428</v>
      </c>
      <c r="D684" s="10" t="s">
        <v>1429</v>
      </c>
      <c r="E684" s="10" t="s">
        <v>1430</v>
      </c>
      <c r="F684" s="10">
        <v>34.658339086200002</v>
      </c>
      <c r="G684" s="10">
        <v>43.652287586299998</v>
      </c>
      <c r="H684" s="11">
        <v>1270</v>
      </c>
      <c r="I684" s="11">
        <v>7620</v>
      </c>
      <c r="J684" s="11"/>
      <c r="K684" s="11"/>
      <c r="L684" s="11">
        <v>100</v>
      </c>
      <c r="M684" s="11"/>
      <c r="N684" s="11">
        <v>100</v>
      </c>
      <c r="O684" s="11"/>
      <c r="P684" s="11">
        <v>300</v>
      </c>
      <c r="Q684" s="11"/>
      <c r="R684" s="11">
        <v>445</v>
      </c>
      <c r="S684" s="11"/>
      <c r="T684" s="11"/>
      <c r="U684" s="11"/>
      <c r="V684" s="11">
        <v>2</v>
      </c>
      <c r="W684" s="11"/>
      <c r="X684" s="11">
        <v>283</v>
      </c>
      <c r="Y684" s="11">
        <v>40</v>
      </c>
      <c r="Z684" s="11"/>
      <c r="AA684" s="11"/>
      <c r="AB684" s="11"/>
      <c r="AC684" s="11">
        <v>1126</v>
      </c>
      <c r="AD684" s="11"/>
      <c r="AE684" s="11"/>
      <c r="AF684" s="11">
        <v>30</v>
      </c>
      <c r="AG684" s="11"/>
      <c r="AH684" s="11"/>
      <c r="AI684" s="11">
        <v>114</v>
      </c>
      <c r="AJ684" s="11"/>
      <c r="AK684" s="11"/>
      <c r="AL684" s="11"/>
      <c r="AM684" s="11"/>
      <c r="AN684" s="11">
        <v>606</v>
      </c>
      <c r="AO684" s="11">
        <v>400</v>
      </c>
      <c r="AP684" s="11">
        <v>85</v>
      </c>
      <c r="AQ684" s="11">
        <v>177</v>
      </c>
      <c r="AR684" s="11"/>
      <c r="AS684" s="11">
        <v>2</v>
      </c>
      <c r="AT684" s="20" t="str">
        <f>HYPERLINK("http://www.openstreetmap.org/?mlat=34.6583&amp;mlon=43.6523&amp;zoom=12#map=12/34.6583/43.6523","Maplink1")</f>
        <v>Maplink1</v>
      </c>
      <c r="AU684" s="20" t="str">
        <f>HYPERLINK("https://www.google.iq/maps/search/+34.6583,43.6523/@34.6583,43.6523,14z?hl=en","Maplink2")</f>
        <v>Maplink2</v>
      </c>
      <c r="AV684" s="20" t="str">
        <f>HYPERLINK("http://www.bing.com/maps/?lvl=14&amp;sty=h&amp;cp=34.6583~43.6523&amp;sp=point.34.6583_43.6523","Maplink3")</f>
        <v>Maplink3</v>
      </c>
    </row>
    <row r="685" spans="1:48" s="19" customFormat="1" x14ac:dyDescent="0.25">
      <c r="A685" s="9">
        <v>23145</v>
      </c>
      <c r="B685" s="10" t="s">
        <v>22</v>
      </c>
      <c r="C685" s="10" t="s">
        <v>1428</v>
      </c>
      <c r="D685" s="10" t="s">
        <v>1431</v>
      </c>
      <c r="E685" s="10" t="s">
        <v>1432</v>
      </c>
      <c r="F685" s="10">
        <v>34.720040168600001</v>
      </c>
      <c r="G685" s="10">
        <v>43.697310760599997</v>
      </c>
      <c r="H685" s="11">
        <v>750</v>
      </c>
      <c r="I685" s="11">
        <v>4500</v>
      </c>
      <c r="J685" s="11"/>
      <c r="K685" s="11"/>
      <c r="L685" s="11">
        <v>33</v>
      </c>
      <c r="M685" s="11"/>
      <c r="N685" s="11"/>
      <c r="O685" s="11"/>
      <c r="P685" s="11">
        <v>38</v>
      </c>
      <c r="Q685" s="11"/>
      <c r="R685" s="11">
        <v>409</v>
      </c>
      <c r="S685" s="11"/>
      <c r="T685" s="11"/>
      <c r="U685" s="11"/>
      <c r="V685" s="11"/>
      <c r="W685" s="11"/>
      <c r="X685" s="11">
        <v>253</v>
      </c>
      <c r="Y685" s="11">
        <v>17</v>
      </c>
      <c r="Z685" s="11"/>
      <c r="AA685" s="11"/>
      <c r="AB685" s="11"/>
      <c r="AC685" s="11">
        <v>750</v>
      </c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>
        <v>400</v>
      </c>
      <c r="AO685" s="11">
        <v>350</v>
      </c>
      <c r="AP685" s="11"/>
      <c r="AQ685" s="11"/>
      <c r="AR685" s="11"/>
      <c r="AS685" s="11"/>
      <c r="AT685" s="20" t="str">
        <f>HYPERLINK("http://www.openstreetmap.org/?mlat=34.72&amp;mlon=43.6973&amp;zoom=12#map=12/34.72/43.6973","Maplink1")</f>
        <v>Maplink1</v>
      </c>
      <c r="AU685" s="20" t="str">
        <f>HYPERLINK("https://www.google.iq/maps/search/+34.72,43.6973/@34.72,43.6973,14z?hl=en","Maplink2")</f>
        <v>Maplink2</v>
      </c>
      <c r="AV685" s="20" t="str">
        <f>HYPERLINK("http://www.bing.com/maps/?lvl=14&amp;sty=h&amp;cp=34.72~43.6973&amp;sp=point.34.72_43.6973","Maplink3")</f>
        <v>Maplink3</v>
      </c>
    </row>
    <row r="686" spans="1:48" s="19" customFormat="1" x14ac:dyDescent="0.25">
      <c r="A686" s="9">
        <v>25949</v>
      </c>
      <c r="B686" s="10" t="s">
        <v>22</v>
      </c>
      <c r="C686" s="10" t="s">
        <v>1428</v>
      </c>
      <c r="D686" s="10" t="s">
        <v>1433</v>
      </c>
      <c r="E686" s="10" t="s">
        <v>1434</v>
      </c>
      <c r="F686" s="10">
        <v>34.889133643100003</v>
      </c>
      <c r="G686" s="10">
        <v>43.548081662599998</v>
      </c>
      <c r="H686" s="11">
        <v>400</v>
      </c>
      <c r="I686" s="11">
        <v>2400</v>
      </c>
      <c r="J686" s="11"/>
      <c r="K686" s="11"/>
      <c r="L686" s="11"/>
      <c r="M686" s="11"/>
      <c r="N686" s="11"/>
      <c r="O686" s="11"/>
      <c r="P686" s="11"/>
      <c r="Q686" s="11"/>
      <c r="R686" s="11">
        <v>200</v>
      </c>
      <c r="S686" s="11"/>
      <c r="T686" s="11"/>
      <c r="U686" s="11"/>
      <c r="V686" s="11"/>
      <c r="W686" s="11"/>
      <c r="X686" s="11">
        <v>200</v>
      </c>
      <c r="Y686" s="11"/>
      <c r="Z686" s="11"/>
      <c r="AA686" s="11"/>
      <c r="AB686" s="11"/>
      <c r="AC686" s="11">
        <v>390</v>
      </c>
      <c r="AD686" s="11"/>
      <c r="AE686" s="11"/>
      <c r="AF686" s="11">
        <v>10</v>
      </c>
      <c r="AG686" s="11"/>
      <c r="AH686" s="11"/>
      <c r="AI686" s="11"/>
      <c r="AJ686" s="11"/>
      <c r="AK686" s="11"/>
      <c r="AL686" s="11"/>
      <c r="AM686" s="11"/>
      <c r="AN686" s="11"/>
      <c r="AO686" s="11"/>
      <c r="AP686" s="11">
        <v>400</v>
      </c>
      <c r="AQ686" s="11"/>
      <c r="AR686" s="11"/>
      <c r="AS686" s="11"/>
      <c r="AT686" s="20" t="str">
        <f>HYPERLINK("http://www.openstreetmap.org/?mlat=34.8891&amp;mlon=43.5481&amp;zoom=12#map=12/34.8891/43.5481","Maplink1")</f>
        <v>Maplink1</v>
      </c>
      <c r="AU686" s="20" t="str">
        <f>HYPERLINK("https://www.google.iq/maps/search/+34.8891,43.5481/@34.8891,43.5481,14z?hl=en","Maplink2")</f>
        <v>Maplink2</v>
      </c>
      <c r="AV686" s="20" t="str">
        <f>HYPERLINK("http://www.bing.com/maps/?lvl=14&amp;sty=h&amp;cp=34.8891~43.5481&amp;sp=point.34.8891_43.5481","Maplink3")</f>
        <v>Maplink3</v>
      </c>
    </row>
    <row r="687" spans="1:48" s="19" customFormat="1" x14ac:dyDescent="0.25">
      <c r="A687" s="9">
        <v>25569</v>
      </c>
      <c r="B687" s="10" t="s">
        <v>22</v>
      </c>
      <c r="C687" s="10" t="s">
        <v>1428</v>
      </c>
      <c r="D687" s="10" t="s">
        <v>1435</v>
      </c>
      <c r="E687" s="10" t="s">
        <v>1436</v>
      </c>
      <c r="F687" s="10">
        <v>34.706647384500002</v>
      </c>
      <c r="G687" s="10">
        <v>43.684072016899997</v>
      </c>
      <c r="H687" s="11">
        <v>200</v>
      </c>
      <c r="I687" s="11">
        <v>1200</v>
      </c>
      <c r="J687" s="11"/>
      <c r="K687" s="11"/>
      <c r="L687" s="11"/>
      <c r="M687" s="11"/>
      <c r="N687" s="11"/>
      <c r="O687" s="11"/>
      <c r="P687" s="11">
        <v>19</v>
      </c>
      <c r="Q687" s="11"/>
      <c r="R687" s="11">
        <v>174</v>
      </c>
      <c r="S687" s="11"/>
      <c r="T687" s="11"/>
      <c r="U687" s="11"/>
      <c r="V687" s="11"/>
      <c r="W687" s="11"/>
      <c r="X687" s="11"/>
      <c r="Y687" s="11">
        <v>7</v>
      </c>
      <c r="Z687" s="11"/>
      <c r="AA687" s="11"/>
      <c r="AB687" s="11"/>
      <c r="AC687" s="11">
        <v>200</v>
      </c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>
        <v>174</v>
      </c>
      <c r="AP687" s="11">
        <v>26</v>
      </c>
      <c r="AQ687" s="11"/>
      <c r="AR687" s="11"/>
      <c r="AS687" s="11"/>
      <c r="AT687" s="20" t="str">
        <f>HYPERLINK("http://www.openstreetmap.org/?mlat=34.7066&amp;mlon=43.6841&amp;zoom=12#map=12/34.7066/43.6841","Maplink1")</f>
        <v>Maplink1</v>
      </c>
      <c r="AU687" s="20" t="str">
        <f>HYPERLINK("https://www.google.iq/maps/search/+34.7066,43.6841/@34.7066,43.6841,14z?hl=en","Maplink2")</f>
        <v>Maplink2</v>
      </c>
      <c r="AV687" s="20" t="str">
        <f>HYPERLINK("http://www.bing.com/maps/?lvl=14&amp;sty=h&amp;cp=34.7066~43.6841&amp;sp=point.34.7066_43.6841","Maplink3")</f>
        <v>Maplink3</v>
      </c>
    </row>
    <row r="688" spans="1:48" s="19" customFormat="1" x14ac:dyDescent="0.25">
      <c r="A688" s="9">
        <v>24212</v>
      </c>
      <c r="B688" s="10" t="s">
        <v>22</v>
      </c>
      <c r="C688" s="10" t="s">
        <v>1428</v>
      </c>
      <c r="D688" s="10" t="s">
        <v>1437</v>
      </c>
      <c r="E688" s="10" t="s">
        <v>1438</v>
      </c>
      <c r="F688" s="10">
        <v>34.770133000000001</v>
      </c>
      <c r="G688" s="10">
        <v>43.642803999999998</v>
      </c>
      <c r="H688" s="11">
        <v>125</v>
      </c>
      <c r="I688" s="11">
        <v>750</v>
      </c>
      <c r="J688" s="11"/>
      <c r="K688" s="11"/>
      <c r="L688" s="11">
        <v>5</v>
      </c>
      <c r="M688" s="11"/>
      <c r="N688" s="11"/>
      <c r="O688" s="11"/>
      <c r="P688" s="11">
        <v>20</v>
      </c>
      <c r="Q688" s="11"/>
      <c r="R688" s="11">
        <v>50</v>
      </c>
      <c r="S688" s="11"/>
      <c r="T688" s="11"/>
      <c r="U688" s="11">
        <v>20</v>
      </c>
      <c r="V688" s="11"/>
      <c r="W688" s="11"/>
      <c r="X688" s="11">
        <v>20</v>
      </c>
      <c r="Y688" s="11">
        <v>10</v>
      </c>
      <c r="Z688" s="11"/>
      <c r="AA688" s="11"/>
      <c r="AB688" s="11"/>
      <c r="AC688" s="11">
        <v>125</v>
      </c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>
        <v>60</v>
      </c>
      <c r="AO688" s="11">
        <v>35</v>
      </c>
      <c r="AP688" s="11">
        <v>30</v>
      </c>
      <c r="AQ688" s="11"/>
      <c r="AR688" s="11"/>
      <c r="AS688" s="11"/>
      <c r="AT688" s="20" t="str">
        <f>HYPERLINK("http://www.openstreetmap.org/?mlat=34.7701&amp;mlon=43.6428&amp;zoom=12#map=12/34.7701/43.6428","Maplink1")</f>
        <v>Maplink1</v>
      </c>
      <c r="AU688" s="20" t="str">
        <f>HYPERLINK("https://www.google.iq/maps/search/+34.7701,43.6428/@34.7701,43.6428,14z?hl=en","Maplink2")</f>
        <v>Maplink2</v>
      </c>
      <c r="AV688" s="20" t="str">
        <f>HYPERLINK("http://www.bing.com/maps/?lvl=14&amp;sty=h&amp;cp=34.7701~43.6428&amp;sp=point.34.7701_43.6428","Maplink3")</f>
        <v>Maplink3</v>
      </c>
    </row>
    <row r="689" spans="1:48" s="19" customFormat="1" x14ac:dyDescent="0.25">
      <c r="A689" s="9">
        <v>26034</v>
      </c>
      <c r="B689" s="10" t="s">
        <v>22</v>
      </c>
      <c r="C689" s="10" t="s">
        <v>1428</v>
      </c>
      <c r="D689" s="10" t="s">
        <v>1439</v>
      </c>
      <c r="E689" s="10" t="s">
        <v>1440</v>
      </c>
      <c r="F689" s="10">
        <v>34.725764210000001</v>
      </c>
      <c r="G689" s="10">
        <v>43.63827766</v>
      </c>
      <c r="H689" s="11">
        <v>390</v>
      </c>
      <c r="I689" s="11">
        <v>2340</v>
      </c>
      <c r="J689" s="11"/>
      <c r="K689" s="11"/>
      <c r="L689" s="11"/>
      <c r="M689" s="11"/>
      <c r="N689" s="11">
        <v>2</v>
      </c>
      <c r="O689" s="11"/>
      <c r="P689" s="11">
        <v>61</v>
      </c>
      <c r="Q689" s="11"/>
      <c r="R689" s="11">
        <v>76</v>
      </c>
      <c r="S689" s="11"/>
      <c r="T689" s="11"/>
      <c r="U689" s="11"/>
      <c r="V689" s="11">
        <v>9</v>
      </c>
      <c r="W689" s="11"/>
      <c r="X689" s="11">
        <v>205</v>
      </c>
      <c r="Y689" s="11">
        <v>35</v>
      </c>
      <c r="Z689" s="11"/>
      <c r="AA689" s="11">
        <v>2</v>
      </c>
      <c r="AB689" s="11"/>
      <c r="AC689" s="11">
        <v>311</v>
      </c>
      <c r="AD689" s="11">
        <v>29</v>
      </c>
      <c r="AE689" s="11"/>
      <c r="AF689" s="11"/>
      <c r="AG689" s="11"/>
      <c r="AH689" s="11"/>
      <c r="AI689" s="11">
        <v>50</v>
      </c>
      <c r="AJ689" s="11"/>
      <c r="AK689" s="11"/>
      <c r="AL689" s="11"/>
      <c r="AM689" s="11"/>
      <c r="AN689" s="11">
        <v>180</v>
      </c>
      <c r="AO689" s="11"/>
      <c r="AP689" s="11"/>
      <c r="AQ689" s="11">
        <v>210</v>
      </c>
      <c r="AR689" s="11"/>
      <c r="AS689" s="11"/>
      <c r="AT689" s="20" t="str">
        <f>HYPERLINK("http://www.openstreetmap.org/?mlat=34.7258&amp;mlon=43.6383&amp;zoom=12#map=12/34.7258/43.6383","Maplink1")</f>
        <v>Maplink1</v>
      </c>
      <c r="AU689" s="20" t="str">
        <f>HYPERLINK("https://www.google.iq/maps/search/+34.7258,43.6383/@34.7258,43.6383,14z?hl=en","Maplink2")</f>
        <v>Maplink2</v>
      </c>
      <c r="AV689" s="20" t="str">
        <f>HYPERLINK("http://www.bing.com/maps/?lvl=14&amp;sty=h&amp;cp=34.7258~43.6383&amp;sp=point.34.7258_43.6383","Maplink3")</f>
        <v>Maplink3</v>
      </c>
    </row>
    <row r="690" spans="1:48" s="19" customFormat="1" x14ac:dyDescent="0.25">
      <c r="A690" s="9">
        <v>25894</v>
      </c>
      <c r="B690" s="10" t="s">
        <v>22</v>
      </c>
      <c r="C690" s="10" t="s">
        <v>1428</v>
      </c>
      <c r="D690" s="10" t="s">
        <v>1441</v>
      </c>
      <c r="E690" s="10" t="s">
        <v>1442</v>
      </c>
      <c r="F690" s="10">
        <v>34.641241000000001</v>
      </c>
      <c r="G690" s="10">
        <v>43.900644999999997</v>
      </c>
      <c r="H690" s="11">
        <v>101</v>
      </c>
      <c r="I690" s="11">
        <v>606</v>
      </c>
      <c r="J690" s="11"/>
      <c r="K690" s="11"/>
      <c r="L690" s="11"/>
      <c r="M690" s="11"/>
      <c r="N690" s="11"/>
      <c r="O690" s="11"/>
      <c r="P690" s="11"/>
      <c r="Q690" s="11"/>
      <c r="R690" s="11">
        <v>75</v>
      </c>
      <c r="S690" s="11"/>
      <c r="T690" s="11"/>
      <c r="U690" s="11"/>
      <c r="V690" s="11"/>
      <c r="W690" s="11"/>
      <c r="X690" s="11">
        <v>26</v>
      </c>
      <c r="Y690" s="11"/>
      <c r="Z690" s="11"/>
      <c r="AA690" s="11"/>
      <c r="AB690" s="11"/>
      <c r="AC690" s="11">
        <v>86</v>
      </c>
      <c r="AD690" s="11"/>
      <c r="AE690" s="11"/>
      <c r="AF690" s="11">
        <v>15</v>
      </c>
      <c r="AG690" s="11"/>
      <c r="AH690" s="11"/>
      <c r="AI690" s="11"/>
      <c r="AJ690" s="11"/>
      <c r="AK690" s="11"/>
      <c r="AL690" s="11"/>
      <c r="AM690" s="11"/>
      <c r="AN690" s="11"/>
      <c r="AO690" s="11">
        <v>75</v>
      </c>
      <c r="AP690" s="11"/>
      <c r="AQ690" s="11">
        <v>26</v>
      </c>
      <c r="AR690" s="11"/>
      <c r="AS690" s="11"/>
      <c r="AT690" s="20" t="str">
        <f>HYPERLINK("http://www.openstreetmap.org/?mlat=34.6412&amp;mlon=43.9006&amp;zoom=12#map=12/34.6412/43.9006","Maplink1")</f>
        <v>Maplink1</v>
      </c>
      <c r="AU690" s="20" t="str">
        <f>HYPERLINK("https://www.google.iq/maps/search/+34.6412,43.9006/@34.6412,43.9006,14z?hl=en","Maplink2")</f>
        <v>Maplink2</v>
      </c>
      <c r="AV690" s="20" t="str">
        <f>HYPERLINK("http://www.bing.com/maps/?lvl=14&amp;sty=h&amp;cp=34.6412~43.9006&amp;sp=point.34.6412_43.9006","Maplink3")</f>
        <v>Maplink3</v>
      </c>
    </row>
    <row r="691" spans="1:48" s="19" customFormat="1" x14ac:dyDescent="0.25">
      <c r="A691" s="9">
        <v>24211</v>
      </c>
      <c r="B691" s="10" t="s">
        <v>22</v>
      </c>
      <c r="C691" s="10" t="s">
        <v>1428</v>
      </c>
      <c r="D691" s="10" t="s">
        <v>1443</v>
      </c>
      <c r="E691" s="10" t="s">
        <v>1444</v>
      </c>
      <c r="F691" s="10">
        <v>34.6412701199</v>
      </c>
      <c r="G691" s="10">
        <v>43.900885864899998</v>
      </c>
      <c r="H691" s="11">
        <v>165</v>
      </c>
      <c r="I691" s="11">
        <v>990</v>
      </c>
      <c r="J691" s="11"/>
      <c r="K691" s="11"/>
      <c r="L691" s="11"/>
      <c r="M691" s="11"/>
      <c r="N691" s="11"/>
      <c r="O691" s="11"/>
      <c r="P691" s="11"/>
      <c r="Q691" s="11"/>
      <c r="R691" s="11">
        <v>100</v>
      </c>
      <c r="S691" s="11"/>
      <c r="T691" s="11"/>
      <c r="U691" s="11"/>
      <c r="V691" s="11"/>
      <c r="W691" s="11"/>
      <c r="X691" s="11">
        <v>65</v>
      </c>
      <c r="Y691" s="11"/>
      <c r="Z691" s="11"/>
      <c r="AA691" s="11"/>
      <c r="AB691" s="11"/>
      <c r="AC691" s="11">
        <v>165</v>
      </c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>
        <v>20</v>
      </c>
      <c r="AO691" s="11">
        <v>75</v>
      </c>
      <c r="AP691" s="11">
        <v>70</v>
      </c>
      <c r="AQ691" s="11"/>
      <c r="AR691" s="11"/>
      <c r="AS691" s="11"/>
      <c r="AT691" s="20" t="str">
        <f>HYPERLINK("http://www.openstreetmap.org/?mlat=34.6413&amp;mlon=43.9009&amp;zoom=12#map=12/34.6413/43.9009","Maplink1")</f>
        <v>Maplink1</v>
      </c>
      <c r="AU691" s="20" t="str">
        <f>HYPERLINK("https://www.google.iq/maps/search/+34.6413,43.9009/@34.6413,43.9009,14z?hl=en","Maplink2")</f>
        <v>Maplink2</v>
      </c>
      <c r="AV691" s="20" t="str">
        <f>HYPERLINK("http://www.bing.com/maps/?lvl=14&amp;sty=h&amp;cp=34.6413~43.9009&amp;sp=point.34.6413_43.9009","Maplink3")</f>
        <v>Maplink3</v>
      </c>
    </row>
    <row r="692" spans="1:48" s="19" customFormat="1" x14ac:dyDescent="0.25">
      <c r="A692" s="9">
        <v>27231</v>
      </c>
      <c r="B692" s="10" t="s">
        <v>22</v>
      </c>
      <c r="C692" s="10" t="s">
        <v>1428</v>
      </c>
      <c r="D692" s="10" t="s">
        <v>1445</v>
      </c>
      <c r="E692" s="10" t="s">
        <v>1446</v>
      </c>
      <c r="F692" s="10">
        <v>34.668206650000002</v>
      </c>
      <c r="G692" s="10">
        <v>43.725524999999998</v>
      </c>
      <c r="H692" s="11">
        <v>250</v>
      </c>
      <c r="I692" s="11">
        <v>1500</v>
      </c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>
        <v>250</v>
      </c>
      <c r="Y692" s="11"/>
      <c r="Z692" s="11"/>
      <c r="AA692" s="11"/>
      <c r="AB692" s="11"/>
      <c r="AC692" s="11">
        <v>170</v>
      </c>
      <c r="AD692" s="11"/>
      <c r="AE692" s="11"/>
      <c r="AF692" s="11"/>
      <c r="AG692" s="11"/>
      <c r="AH692" s="11"/>
      <c r="AI692" s="11">
        <v>80</v>
      </c>
      <c r="AJ692" s="11"/>
      <c r="AK692" s="11"/>
      <c r="AL692" s="11"/>
      <c r="AM692" s="11"/>
      <c r="AN692" s="11">
        <v>150</v>
      </c>
      <c r="AO692" s="11">
        <v>100</v>
      </c>
      <c r="AP692" s="11"/>
      <c r="AQ692" s="11"/>
      <c r="AR692" s="11"/>
      <c r="AS692" s="11"/>
      <c r="AT692" s="20" t="str">
        <f>HYPERLINK("http://www.openstreetmap.org/?mlat=34.6682&amp;mlon=43.7255&amp;zoom=12#map=12/34.6682/43.7255","Maplink1")</f>
        <v>Maplink1</v>
      </c>
      <c r="AU692" s="20" t="str">
        <f>HYPERLINK("https://www.google.iq/maps/search/+34.6682,43.7255/@34.6682,43.7255,14z?hl=en","Maplink2")</f>
        <v>Maplink2</v>
      </c>
      <c r="AV692" s="20" t="str">
        <f>HYPERLINK("http://www.bing.com/maps/?lvl=14&amp;sty=h&amp;cp=34.6682~43.7255&amp;sp=point.34.6682_43.7255","Maplink3")</f>
        <v>Maplink3</v>
      </c>
    </row>
    <row r="693" spans="1:48" s="19" customFormat="1" x14ac:dyDescent="0.25">
      <c r="A693" s="9">
        <v>21357</v>
      </c>
      <c r="B693" s="10" t="s">
        <v>22</v>
      </c>
      <c r="C693" s="10" t="s">
        <v>1428</v>
      </c>
      <c r="D693" s="10" t="s">
        <v>1447</v>
      </c>
      <c r="E693" s="10" t="s">
        <v>1448</v>
      </c>
      <c r="F693" s="10">
        <v>34.457985078900002</v>
      </c>
      <c r="G693" s="10">
        <v>43.7267232779</v>
      </c>
      <c r="H693" s="11">
        <v>1268</v>
      </c>
      <c r="I693" s="11">
        <v>7608</v>
      </c>
      <c r="J693" s="11"/>
      <c r="K693" s="11"/>
      <c r="L693" s="11">
        <v>57</v>
      </c>
      <c r="M693" s="11">
        <v>12</v>
      </c>
      <c r="N693" s="11">
        <v>55</v>
      </c>
      <c r="O693" s="11"/>
      <c r="P693" s="11">
        <v>225</v>
      </c>
      <c r="Q693" s="11"/>
      <c r="R693" s="11">
        <v>593</v>
      </c>
      <c r="S693" s="11"/>
      <c r="T693" s="11"/>
      <c r="U693" s="11"/>
      <c r="V693" s="11"/>
      <c r="W693" s="11"/>
      <c r="X693" s="11">
        <v>326</v>
      </c>
      <c r="Y693" s="11"/>
      <c r="Z693" s="11"/>
      <c r="AA693" s="11"/>
      <c r="AB693" s="11"/>
      <c r="AC693" s="11">
        <v>1205</v>
      </c>
      <c r="AD693" s="11"/>
      <c r="AE693" s="11"/>
      <c r="AF693" s="11"/>
      <c r="AG693" s="11"/>
      <c r="AH693" s="11"/>
      <c r="AI693" s="11">
        <v>63</v>
      </c>
      <c r="AJ693" s="11"/>
      <c r="AK693" s="11"/>
      <c r="AL693" s="11"/>
      <c r="AM693" s="11"/>
      <c r="AN693" s="11">
        <v>1268</v>
      </c>
      <c r="AO693" s="11"/>
      <c r="AP693" s="11"/>
      <c r="AQ693" s="11"/>
      <c r="AR693" s="11"/>
      <c r="AS693" s="11"/>
      <c r="AT693" s="20" t="str">
        <f>HYPERLINK("http://www.openstreetmap.org/?mlat=34.458&amp;mlon=43.7267&amp;zoom=12#map=12/34.458/43.7267","Maplink1")</f>
        <v>Maplink1</v>
      </c>
      <c r="AU693" s="20" t="str">
        <f>HYPERLINK("https://www.google.iq/maps/search/+34.458,43.7267/@34.458,43.7267,14z?hl=en","Maplink2")</f>
        <v>Maplink2</v>
      </c>
      <c r="AV693" s="20" t="str">
        <f>HYPERLINK("http://www.bing.com/maps/?lvl=14&amp;sty=h&amp;cp=34.458~43.7267&amp;sp=point.34.458_43.7267","Maplink3")</f>
        <v>Maplink3</v>
      </c>
    </row>
    <row r="694" spans="1:48" s="19" customFormat="1" x14ac:dyDescent="0.25">
      <c r="A694" s="9">
        <v>29589</v>
      </c>
      <c r="B694" s="10" t="s">
        <v>22</v>
      </c>
      <c r="C694" s="10" t="s">
        <v>1428</v>
      </c>
      <c r="D694" s="10" t="s">
        <v>1449</v>
      </c>
      <c r="E694" s="10" t="s">
        <v>1450</v>
      </c>
      <c r="F694" s="10">
        <v>34.635867504399997</v>
      </c>
      <c r="G694" s="10">
        <v>43.703866498499998</v>
      </c>
      <c r="H694" s="11">
        <v>335</v>
      </c>
      <c r="I694" s="11">
        <v>2010</v>
      </c>
      <c r="J694" s="11"/>
      <c r="K694" s="11"/>
      <c r="L694" s="11">
        <v>24</v>
      </c>
      <c r="M694" s="11"/>
      <c r="N694" s="11"/>
      <c r="O694" s="11"/>
      <c r="P694" s="11">
        <v>50</v>
      </c>
      <c r="Q694" s="11"/>
      <c r="R694" s="11">
        <v>35</v>
      </c>
      <c r="S694" s="11"/>
      <c r="T694" s="11"/>
      <c r="U694" s="11"/>
      <c r="V694" s="11"/>
      <c r="W694" s="11"/>
      <c r="X694" s="11">
        <v>220</v>
      </c>
      <c r="Y694" s="11">
        <v>6</v>
      </c>
      <c r="Z694" s="11"/>
      <c r="AA694" s="11"/>
      <c r="AB694" s="11"/>
      <c r="AC694" s="11">
        <v>335</v>
      </c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>
        <v>150</v>
      </c>
      <c r="AO694" s="11">
        <v>130</v>
      </c>
      <c r="AP694" s="11">
        <v>55</v>
      </c>
      <c r="AQ694" s="11"/>
      <c r="AR694" s="11"/>
      <c r="AS694" s="11"/>
      <c r="AT694" s="20" t="str">
        <f>HYPERLINK("http://www.openstreetmap.org/?mlat=34.6359&amp;mlon=43.7039&amp;zoom=12#map=12/34.6359/43.7039","Maplink1")</f>
        <v>Maplink1</v>
      </c>
      <c r="AU694" s="20" t="str">
        <f>HYPERLINK("https://www.google.iq/maps/search/+34.6359,43.7039/@34.6359,43.7039,14z?hl=en","Maplink2")</f>
        <v>Maplink2</v>
      </c>
      <c r="AV694" s="20" t="str">
        <f>HYPERLINK("http://www.bing.com/maps/?lvl=14&amp;sty=h&amp;cp=34.6359~43.7039&amp;sp=point.34.6359_43.7039","Maplink3")</f>
        <v>Maplink3</v>
      </c>
    </row>
    <row r="695" spans="1:48" s="19" customFormat="1" x14ac:dyDescent="0.25">
      <c r="A695" s="9">
        <v>20642</v>
      </c>
      <c r="B695" s="10" t="s">
        <v>22</v>
      </c>
      <c r="C695" s="10" t="s">
        <v>1428</v>
      </c>
      <c r="D695" s="10" t="s">
        <v>1451</v>
      </c>
      <c r="E695" s="10" t="s">
        <v>973</v>
      </c>
      <c r="F695" s="10">
        <v>34.690297870000002</v>
      </c>
      <c r="G695" s="10">
        <v>43.624409999999997</v>
      </c>
      <c r="H695" s="11">
        <v>145</v>
      </c>
      <c r="I695" s="11">
        <v>870</v>
      </c>
      <c r="J695" s="11"/>
      <c r="K695" s="11"/>
      <c r="L695" s="11"/>
      <c r="M695" s="11"/>
      <c r="N695" s="11"/>
      <c r="O695" s="11"/>
      <c r="P695" s="11">
        <v>4</v>
      </c>
      <c r="Q695" s="11"/>
      <c r="R695" s="11">
        <v>100</v>
      </c>
      <c r="S695" s="11"/>
      <c r="T695" s="11"/>
      <c r="U695" s="11"/>
      <c r="V695" s="11"/>
      <c r="W695" s="11"/>
      <c r="X695" s="11">
        <v>33</v>
      </c>
      <c r="Y695" s="11">
        <v>8</v>
      </c>
      <c r="Z695" s="11"/>
      <c r="AA695" s="11"/>
      <c r="AB695" s="11"/>
      <c r="AC695" s="11">
        <v>145</v>
      </c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>
        <v>112</v>
      </c>
      <c r="AO695" s="11"/>
      <c r="AP695" s="11">
        <v>33</v>
      </c>
      <c r="AQ695" s="11"/>
      <c r="AR695" s="11"/>
      <c r="AS695" s="11"/>
      <c r="AT695" s="20" t="str">
        <f>HYPERLINK("http://www.openstreetmap.org/?mlat=34.6903&amp;mlon=43.6244&amp;zoom=12#map=12/34.6903/43.6244","Maplink1")</f>
        <v>Maplink1</v>
      </c>
      <c r="AU695" s="20" t="str">
        <f>HYPERLINK("https://www.google.iq/maps/search/+34.6903,43.6244/@34.6903,43.6244,14z?hl=en","Maplink2")</f>
        <v>Maplink2</v>
      </c>
      <c r="AV695" s="20" t="str">
        <f>HYPERLINK("http://www.bing.com/maps/?lvl=14&amp;sty=h&amp;cp=34.6903~43.6244&amp;sp=point.34.6903_43.6244","Maplink3")</f>
        <v>Maplink3</v>
      </c>
    </row>
    <row r="696" spans="1:48" s="19" customFormat="1" x14ac:dyDescent="0.25">
      <c r="A696" s="9">
        <v>23525</v>
      </c>
      <c r="B696" s="10" t="s">
        <v>22</v>
      </c>
      <c r="C696" s="10" t="s">
        <v>1428</v>
      </c>
      <c r="D696" s="10" t="s">
        <v>1452</v>
      </c>
      <c r="E696" s="10" t="s">
        <v>1453</v>
      </c>
      <c r="F696" s="10">
        <v>34.69476908</v>
      </c>
      <c r="G696" s="10">
        <v>43.634281430000001</v>
      </c>
      <c r="H696" s="11">
        <v>20</v>
      </c>
      <c r="I696" s="11">
        <v>120</v>
      </c>
      <c r="J696" s="11"/>
      <c r="K696" s="11"/>
      <c r="L696" s="11"/>
      <c r="M696" s="11"/>
      <c r="N696" s="11"/>
      <c r="O696" s="11"/>
      <c r="P696" s="11"/>
      <c r="Q696" s="11"/>
      <c r="R696" s="11">
        <v>20</v>
      </c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>
        <v>20</v>
      </c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>
        <v>10</v>
      </c>
      <c r="AO696" s="11">
        <v>10</v>
      </c>
      <c r="AP696" s="11"/>
      <c r="AQ696" s="11"/>
      <c r="AR696" s="11"/>
      <c r="AS696" s="11"/>
      <c r="AT696" s="20" t="str">
        <f>HYPERLINK("http://www.openstreetmap.org/?mlat=34.6948&amp;mlon=43.6343&amp;zoom=12#map=12/34.6948/43.6343","Maplink1")</f>
        <v>Maplink1</v>
      </c>
      <c r="AU696" s="20" t="str">
        <f>HYPERLINK("https://www.google.iq/maps/search/+34.6948,43.6343/@34.6948,43.6343,14z?hl=en","Maplink2")</f>
        <v>Maplink2</v>
      </c>
      <c r="AV696" s="20" t="str">
        <f>HYPERLINK("http://www.bing.com/maps/?lvl=14&amp;sty=h&amp;cp=34.6948~43.6343&amp;sp=point.34.6948_43.6343","Maplink3")</f>
        <v>Maplink3</v>
      </c>
    </row>
    <row r="697" spans="1:48" s="19" customFormat="1" x14ac:dyDescent="0.25">
      <c r="A697" s="9">
        <v>28419</v>
      </c>
      <c r="B697" s="10" t="s">
        <v>22</v>
      </c>
      <c r="C697" s="10" t="s">
        <v>1428</v>
      </c>
      <c r="D697" s="10" t="s">
        <v>1454</v>
      </c>
      <c r="E697" s="10" t="s">
        <v>1455</v>
      </c>
      <c r="F697" s="10">
        <v>34.714219565500002</v>
      </c>
      <c r="G697" s="10">
        <v>43.612539041799998</v>
      </c>
      <c r="H697" s="11">
        <v>130</v>
      </c>
      <c r="I697" s="11">
        <v>780</v>
      </c>
      <c r="J697" s="11"/>
      <c r="K697" s="11"/>
      <c r="L697" s="11"/>
      <c r="M697" s="11"/>
      <c r="N697" s="11"/>
      <c r="O697" s="11"/>
      <c r="P697" s="11"/>
      <c r="Q697" s="11"/>
      <c r="R697" s="11">
        <v>130</v>
      </c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>
        <v>80</v>
      </c>
      <c r="AD697" s="11"/>
      <c r="AE697" s="11"/>
      <c r="AF697" s="11">
        <v>50</v>
      </c>
      <c r="AG697" s="11"/>
      <c r="AH697" s="11"/>
      <c r="AI697" s="11"/>
      <c r="AJ697" s="11"/>
      <c r="AK697" s="11"/>
      <c r="AL697" s="11"/>
      <c r="AM697" s="11"/>
      <c r="AN697" s="11">
        <v>130</v>
      </c>
      <c r="AO697" s="11"/>
      <c r="AP697" s="11"/>
      <c r="AQ697" s="11"/>
      <c r="AR697" s="11"/>
      <c r="AS697" s="11"/>
      <c r="AT697" s="20" t="str">
        <f>HYPERLINK("http://www.openstreetmap.org/?mlat=34.7142&amp;mlon=43.6125&amp;zoom=12#map=12/34.7142/43.6125","Maplink1")</f>
        <v>Maplink1</v>
      </c>
      <c r="AU697" s="20" t="str">
        <f>HYPERLINK("https://www.google.iq/maps/search/+34.7142,43.6125/@34.7142,43.6125,14z?hl=en","Maplink2")</f>
        <v>Maplink2</v>
      </c>
      <c r="AV697" s="20" t="str">
        <f>HYPERLINK("http://www.bing.com/maps/?lvl=14&amp;sty=h&amp;cp=34.7142~43.6125&amp;sp=point.34.7142_43.6125","Maplink3")</f>
        <v>Maplink3</v>
      </c>
    </row>
    <row r="698" spans="1:48" s="19" customFormat="1" x14ac:dyDescent="0.25">
      <c r="A698" s="9">
        <v>23918</v>
      </c>
      <c r="B698" s="10" t="s">
        <v>22</v>
      </c>
      <c r="C698" s="10" t="s">
        <v>1428</v>
      </c>
      <c r="D698" s="10" t="s">
        <v>1456</v>
      </c>
      <c r="E698" s="10" t="s">
        <v>1457</v>
      </c>
      <c r="F698" s="10">
        <v>34.627451280000002</v>
      </c>
      <c r="G698" s="10">
        <v>43.669864750000002</v>
      </c>
      <c r="H698" s="11">
        <v>755</v>
      </c>
      <c r="I698" s="11">
        <v>4530</v>
      </c>
      <c r="J698" s="11"/>
      <c r="K698" s="11"/>
      <c r="L698" s="11">
        <v>28</v>
      </c>
      <c r="M698" s="11"/>
      <c r="N698" s="11">
        <v>2</v>
      </c>
      <c r="O698" s="11"/>
      <c r="P698" s="11">
        <v>200</v>
      </c>
      <c r="Q698" s="11"/>
      <c r="R698" s="11">
        <v>206</v>
      </c>
      <c r="S698" s="11"/>
      <c r="T698" s="11"/>
      <c r="U698" s="11"/>
      <c r="V698" s="11"/>
      <c r="W698" s="11"/>
      <c r="X698" s="11">
        <v>211</v>
      </c>
      <c r="Y698" s="11">
        <v>108</v>
      </c>
      <c r="Z698" s="11"/>
      <c r="AA698" s="11"/>
      <c r="AB698" s="11"/>
      <c r="AC698" s="11">
        <v>685</v>
      </c>
      <c r="AD698" s="11">
        <v>70</v>
      </c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>
        <v>502</v>
      </c>
      <c r="AP698" s="11">
        <v>253</v>
      </c>
      <c r="AQ698" s="11"/>
      <c r="AR698" s="11"/>
      <c r="AS698" s="11"/>
      <c r="AT698" s="20" t="str">
        <f>HYPERLINK("http://www.openstreetmap.org/?mlat=34.6275&amp;mlon=43.6699&amp;zoom=12#map=12/34.6275/43.6699","Maplink1")</f>
        <v>Maplink1</v>
      </c>
      <c r="AU698" s="20" t="str">
        <f>HYPERLINK("https://www.google.iq/maps/search/+34.6275,43.6699/@34.6275,43.6699,14z?hl=en","Maplink2")</f>
        <v>Maplink2</v>
      </c>
      <c r="AV698" s="20" t="str">
        <f>HYPERLINK("http://www.bing.com/maps/?lvl=14&amp;sty=h&amp;cp=34.6275~43.6699&amp;sp=point.34.6275_43.6699","Maplink3")</f>
        <v>Maplink3</v>
      </c>
    </row>
    <row r="699" spans="1:48" s="19" customFormat="1" x14ac:dyDescent="0.25">
      <c r="A699" s="9">
        <v>20631</v>
      </c>
      <c r="B699" s="10" t="s">
        <v>22</v>
      </c>
      <c r="C699" s="10" t="s">
        <v>1428</v>
      </c>
      <c r="D699" s="10" t="s">
        <v>1458</v>
      </c>
      <c r="E699" s="10" t="s">
        <v>1459</v>
      </c>
      <c r="F699" s="10">
        <v>34.694068590000001</v>
      </c>
      <c r="G699" s="10">
        <v>43.617256380000001</v>
      </c>
      <c r="H699" s="11">
        <v>43</v>
      </c>
      <c r="I699" s="11">
        <v>258</v>
      </c>
      <c r="J699" s="11"/>
      <c r="K699" s="11"/>
      <c r="L699" s="11"/>
      <c r="M699" s="11"/>
      <c r="N699" s="11"/>
      <c r="O699" s="11"/>
      <c r="P699" s="11">
        <v>8</v>
      </c>
      <c r="Q699" s="11"/>
      <c r="R699" s="11">
        <v>35</v>
      </c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>
        <v>43</v>
      </c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>
        <v>43</v>
      </c>
      <c r="AO699" s="11"/>
      <c r="AP699" s="11"/>
      <c r="AQ699" s="11"/>
      <c r="AR699" s="11"/>
      <c r="AS699" s="11"/>
      <c r="AT699" s="20" t="str">
        <f>HYPERLINK("http://www.openstreetmap.org/?mlat=34.6941&amp;mlon=43.6173&amp;zoom=12#map=12/34.6941/43.6173","Maplink1")</f>
        <v>Maplink1</v>
      </c>
      <c r="AU699" s="20" t="str">
        <f>HYPERLINK("https://www.google.iq/maps/search/+34.6941,43.6173/@34.6941,43.6173,14z?hl=en","Maplink2")</f>
        <v>Maplink2</v>
      </c>
      <c r="AV699" s="20" t="str">
        <f>HYPERLINK("http://www.bing.com/maps/?lvl=14&amp;sty=h&amp;cp=34.6941~43.6173&amp;sp=point.34.6941_43.6173","Maplink3")</f>
        <v>Maplink3</v>
      </c>
    </row>
    <row r="700" spans="1:48" s="19" customFormat="1" x14ac:dyDescent="0.25">
      <c r="A700" s="9">
        <v>20630</v>
      </c>
      <c r="B700" s="10" t="s">
        <v>22</v>
      </c>
      <c r="C700" s="10" t="s">
        <v>1428</v>
      </c>
      <c r="D700" s="10" t="s">
        <v>1460</v>
      </c>
      <c r="E700" s="10" t="s">
        <v>1461</v>
      </c>
      <c r="F700" s="10">
        <v>34.693582999999997</v>
      </c>
      <c r="G700" s="10">
        <v>43.625877000000003</v>
      </c>
      <c r="H700" s="11">
        <v>218</v>
      </c>
      <c r="I700" s="11">
        <v>1308</v>
      </c>
      <c r="J700" s="11"/>
      <c r="K700" s="11"/>
      <c r="L700" s="11"/>
      <c r="M700" s="11"/>
      <c r="N700" s="11"/>
      <c r="O700" s="11"/>
      <c r="P700" s="11">
        <v>11</v>
      </c>
      <c r="Q700" s="11"/>
      <c r="R700" s="11">
        <v>198</v>
      </c>
      <c r="S700" s="11"/>
      <c r="T700" s="11"/>
      <c r="U700" s="11"/>
      <c r="V700" s="11"/>
      <c r="W700" s="11"/>
      <c r="X700" s="11">
        <v>9</v>
      </c>
      <c r="Y700" s="11"/>
      <c r="Z700" s="11"/>
      <c r="AA700" s="11"/>
      <c r="AB700" s="11"/>
      <c r="AC700" s="11">
        <v>218</v>
      </c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>
        <v>218</v>
      </c>
      <c r="AO700" s="11"/>
      <c r="AP700" s="11"/>
      <c r="AQ700" s="11"/>
      <c r="AR700" s="11"/>
      <c r="AS700" s="11"/>
      <c r="AT700" s="20" t="str">
        <f>HYPERLINK("http://www.openstreetmap.org/?mlat=34.6936&amp;mlon=43.6259&amp;zoom=12#map=12/34.6936/43.6259","Maplink1")</f>
        <v>Maplink1</v>
      </c>
      <c r="AU700" s="20" t="str">
        <f>HYPERLINK("https://www.google.iq/maps/search/+34.6936,43.6259/@34.6936,43.6259,14z?hl=en","Maplink2")</f>
        <v>Maplink2</v>
      </c>
      <c r="AV700" s="20" t="str">
        <f>HYPERLINK("http://www.bing.com/maps/?lvl=14&amp;sty=h&amp;cp=34.6936~43.6259&amp;sp=point.34.6936_43.6259","Maplink3")</f>
        <v>Maplink3</v>
      </c>
    </row>
    <row r="701" spans="1:48" s="19" customFormat="1" x14ac:dyDescent="0.25">
      <c r="A701" s="9">
        <v>25984</v>
      </c>
      <c r="B701" s="10" t="s">
        <v>22</v>
      </c>
      <c r="C701" s="10" t="s">
        <v>1428</v>
      </c>
      <c r="D701" s="10" t="s">
        <v>1462</v>
      </c>
      <c r="E701" s="10" t="s">
        <v>1463</v>
      </c>
      <c r="F701" s="10">
        <v>34.787411599999999</v>
      </c>
      <c r="G701" s="10">
        <v>43.626029209999999</v>
      </c>
      <c r="H701" s="11">
        <v>200</v>
      </c>
      <c r="I701" s="11">
        <v>1200</v>
      </c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>
        <v>200</v>
      </c>
      <c r="Y701" s="11"/>
      <c r="Z701" s="11"/>
      <c r="AA701" s="11"/>
      <c r="AB701" s="11"/>
      <c r="AC701" s="11">
        <v>200</v>
      </c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>
        <v>200</v>
      </c>
      <c r="AQ701" s="11"/>
      <c r="AR701" s="11"/>
      <c r="AS701" s="11"/>
      <c r="AT701" s="20" t="str">
        <f>HYPERLINK("http://www.openstreetmap.org/?mlat=34.7874&amp;mlon=43.626&amp;zoom=12#map=12/34.7874/43.626","Maplink1")</f>
        <v>Maplink1</v>
      </c>
      <c r="AU701" s="20" t="str">
        <f>HYPERLINK("https://www.google.iq/maps/search/+34.7874,43.626/@34.7874,43.626,14z?hl=en","Maplink2")</f>
        <v>Maplink2</v>
      </c>
      <c r="AV701" s="20" t="str">
        <f>HYPERLINK("http://www.bing.com/maps/?lvl=14&amp;sty=h&amp;cp=34.7874~43.626&amp;sp=point.34.7874_43.626","Maplink3")</f>
        <v>Maplink3</v>
      </c>
    </row>
    <row r="702" spans="1:48" s="19" customFormat="1" x14ac:dyDescent="0.25">
      <c r="A702" s="9">
        <v>24248</v>
      </c>
      <c r="B702" s="10" t="s">
        <v>22</v>
      </c>
      <c r="C702" s="10" t="s">
        <v>1428</v>
      </c>
      <c r="D702" s="10" t="s">
        <v>1464</v>
      </c>
      <c r="E702" s="10" t="s">
        <v>1465</v>
      </c>
      <c r="F702" s="10">
        <v>34.679689000000003</v>
      </c>
      <c r="G702" s="10">
        <v>43.716175</v>
      </c>
      <c r="H702" s="11">
        <v>860</v>
      </c>
      <c r="I702" s="11">
        <v>5160</v>
      </c>
      <c r="J702" s="11"/>
      <c r="K702" s="11"/>
      <c r="L702" s="11"/>
      <c r="M702" s="11"/>
      <c r="N702" s="11"/>
      <c r="O702" s="11"/>
      <c r="P702" s="11">
        <v>85</v>
      </c>
      <c r="Q702" s="11"/>
      <c r="R702" s="11">
        <v>480</v>
      </c>
      <c r="S702" s="11"/>
      <c r="T702" s="11"/>
      <c r="U702" s="11"/>
      <c r="V702" s="11"/>
      <c r="W702" s="11"/>
      <c r="X702" s="11">
        <v>255</v>
      </c>
      <c r="Y702" s="11">
        <v>40</v>
      </c>
      <c r="Z702" s="11"/>
      <c r="AA702" s="11"/>
      <c r="AB702" s="11"/>
      <c r="AC702" s="11">
        <v>860</v>
      </c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>
        <v>250</v>
      </c>
      <c r="AO702" s="11">
        <v>190</v>
      </c>
      <c r="AP702" s="11">
        <v>420</v>
      </c>
      <c r="AQ702" s="11"/>
      <c r="AR702" s="11"/>
      <c r="AS702" s="11"/>
      <c r="AT702" s="20" t="str">
        <f>HYPERLINK("http://www.openstreetmap.org/?mlat=34.6797&amp;mlon=43.7162&amp;zoom=12#map=12/34.6797/43.7162","Maplink1")</f>
        <v>Maplink1</v>
      </c>
      <c r="AU702" s="20" t="str">
        <f>HYPERLINK("https://www.google.iq/maps/search/+34.6797,43.7162/@34.6797,43.7162,14z?hl=en","Maplink2")</f>
        <v>Maplink2</v>
      </c>
      <c r="AV702" s="20" t="str">
        <f>HYPERLINK("http://www.bing.com/maps/?lvl=14&amp;sty=h&amp;cp=34.6797~43.7162&amp;sp=point.34.6797_43.7162","Maplink3")</f>
        <v>Maplink3</v>
      </c>
    </row>
    <row r="703" spans="1:48" s="19" customFormat="1" x14ac:dyDescent="0.25">
      <c r="A703" s="9">
        <v>20618</v>
      </c>
      <c r="B703" s="10" t="s">
        <v>22</v>
      </c>
      <c r="C703" s="10" t="s">
        <v>1428</v>
      </c>
      <c r="D703" s="10" t="s">
        <v>1466</v>
      </c>
      <c r="E703" s="10" t="s">
        <v>1467</v>
      </c>
      <c r="F703" s="10">
        <v>34.700996000000004</v>
      </c>
      <c r="G703" s="10">
        <v>43.616549999999997</v>
      </c>
      <c r="H703" s="11">
        <v>255</v>
      </c>
      <c r="I703" s="11">
        <v>1530</v>
      </c>
      <c r="J703" s="11"/>
      <c r="K703" s="11"/>
      <c r="L703" s="11">
        <v>44</v>
      </c>
      <c r="M703" s="11"/>
      <c r="N703" s="11"/>
      <c r="O703" s="11">
        <v>2</v>
      </c>
      <c r="P703" s="11">
        <v>13</v>
      </c>
      <c r="Q703" s="11"/>
      <c r="R703" s="11">
        <v>179</v>
      </c>
      <c r="S703" s="11"/>
      <c r="T703" s="11"/>
      <c r="U703" s="11"/>
      <c r="V703" s="11"/>
      <c r="W703" s="11"/>
      <c r="X703" s="11">
        <v>11</v>
      </c>
      <c r="Y703" s="11">
        <v>6</v>
      </c>
      <c r="Z703" s="11"/>
      <c r="AA703" s="11"/>
      <c r="AB703" s="11"/>
      <c r="AC703" s="11">
        <v>255</v>
      </c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>
        <v>251</v>
      </c>
      <c r="AO703" s="11"/>
      <c r="AP703" s="11">
        <v>4</v>
      </c>
      <c r="AQ703" s="11"/>
      <c r="AR703" s="11"/>
      <c r="AS703" s="11"/>
      <c r="AT703" s="20" t="str">
        <f>HYPERLINK("http://www.openstreetmap.org/?mlat=34.701&amp;mlon=43.6165&amp;zoom=12#map=12/34.701/43.6165","Maplink1")</f>
        <v>Maplink1</v>
      </c>
      <c r="AU703" s="20" t="str">
        <f>HYPERLINK("https://www.google.iq/maps/search/+34.701,43.6165/@34.701,43.6165,14z?hl=en","Maplink2")</f>
        <v>Maplink2</v>
      </c>
      <c r="AV703" s="20" t="str">
        <f>HYPERLINK("http://www.bing.com/maps/?lvl=14&amp;sty=h&amp;cp=34.701~43.6165&amp;sp=point.34.701_43.6165","Maplink3")</f>
        <v>Maplink3</v>
      </c>
    </row>
    <row r="704" spans="1:48" s="19" customFormat="1" x14ac:dyDescent="0.25">
      <c r="A704" s="9">
        <v>23301</v>
      </c>
      <c r="B704" s="10" t="s">
        <v>22</v>
      </c>
      <c r="C704" s="10" t="s">
        <v>1428</v>
      </c>
      <c r="D704" s="10" t="s">
        <v>1468</v>
      </c>
      <c r="E704" s="10" t="s">
        <v>1469</v>
      </c>
      <c r="F704" s="10">
        <v>34.573701999999997</v>
      </c>
      <c r="G704" s="10">
        <v>43.6828547</v>
      </c>
      <c r="H704" s="11">
        <v>485</v>
      </c>
      <c r="I704" s="11">
        <v>2910</v>
      </c>
      <c r="J704" s="11"/>
      <c r="K704" s="11"/>
      <c r="L704" s="11">
        <v>37</v>
      </c>
      <c r="M704" s="11"/>
      <c r="N704" s="11">
        <v>25</v>
      </c>
      <c r="O704" s="11"/>
      <c r="P704" s="11">
        <v>140</v>
      </c>
      <c r="Q704" s="11"/>
      <c r="R704" s="11">
        <v>181</v>
      </c>
      <c r="S704" s="11"/>
      <c r="T704" s="11"/>
      <c r="U704" s="11"/>
      <c r="V704" s="11"/>
      <c r="W704" s="11"/>
      <c r="X704" s="11">
        <v>70</v>
      </c>
      <c r="Y704" s="11">
        <v>32</v>
      </c>
      <c r="Z704" s="11"/>
      <c r="AA704" s="11"/>
      <c r="AB704" s="11"/>
      <c r="AC704" s="11">
        <v>452</v>
      </c>
      <c r="AD704" s="11"/>
      <c r="AE704" s="11"/>
      <c r="AF704" s="11"/>
      <c r="AG704" s="11"/>
      <c r="AH704" s="11"/>
      <c r="AI704" s="11">
        <v>33</v>
      </c>
      <c r="AJ704" s="11"/>
      <c r="AK704" s="11"/>
      <c r="AL704" s="11"/>
      <c r="AM704" s="11"/>
      <c r="AN704" s="11">
        <v>250</v>
      </c>
      <c r="AO704" s="11">
        <v>200</v>
      </c>
      <c r="AP704" s="11">
        <v>35</v>
      </c>
      <c r="AQ704" s="11"/>
      <c r="AR704" s="11"/>
      <c r="AS704" s="11"/>
      <c r="AT704" s="20" t="str">
        <f>HYPERLINK("http://www.openstreetmap.org/?mlat=34.5737&amp;mlon=43.6829&amp;zoom=12#map=12/34.5737/43.6829","Maplink1")</f>
        <v>Maplink1</v>
      </c>
      <c r="AU704" s="20" t="str">
        <f>HYPERLINK("https://www.google.iq/maps/search/+34.5737,43.6829/@34.5737,43.6829,14z?hl=en","Maplink2")</f>
        <v>Maplink2</v>
      </c>
      <c r="AV704" s="20" t="str">
        <f>HYPERLINK("http://www.bing.com/maps/?lvl=14&amp;sty=h&amp;cp=34.5737~43.6829&amp;sp=point.34.5737_43.6829","Maplink3")</f>
        <v>Maplink3</v>
      </c>
    </row>
    <row r="705" spans="1:48" s="19" customFormat="1" x14ac:dyDescent="0.25">
      <c r="A705" s="9">
        <v>25961</v>
      </c>
      <c r="B705" s="10" t="s">
        <v>22</v>
      </c>
      <c r="C705" s="10" t="s">
        <v>1428</v>
      </c>
      <c r="D705" s="10" t="s">
        <v>1470</v>
      </c>
      <c r="E705" s="10" t="s">
        <v>1471</v>
      </c>
      <c r="F705" s="10">
        <v>34.593416900000001</v>
      </c>
      <c r="G705" s="10">
        <v>43.677529309999997</v>
      </c>
      <c r="H705" s="11">
        <v>416</v>
      </c>
      <c r="I705" s="11">
        <v>2496</v>
      </c>
      <c r="J705" s="11"/>
      <c r="K705" s="11"/>
      <c r="L705" s="11"/>
      <c r="M705" s="11"/>
      <c r="N705" s="11"/>
      <c r="O705" s="11"/>
      <c r="P705" s="11">
        <v>112</v>
      </c>
      <c r="Q705" s="11"/>
      <c r="R705" s="11">
        <v>174</v>
      </c>
      <c r="S705" s="11"/>
      <c r="T705" s="11"/>
      <c r="U705" s="11"/>
      <c r="V705" s="11">
        <v>3</v>
      </c>
      <c r="W705" s="11"/>
      <c r="X705" s="11">
        <v>127</v>
      </c>
      <c r="Y705" s="11"/>
      <c r="Z705" s="11"/>
      <c r="AA705" s="11"/>
      <c r="AB705" s="11"/>
      <c r="AC705" s="11">
        <v>368</v>
      </c>
      <c r="AD705" s="11"/>
      <c r="AE705" s="11"/>
      <c r="AF705" s="11"/>
      <c r="AG705" s="11"/>
      <c r="AH705" s="11"/>
      <c r="AI705" s="11">
        <v>48</v>
      </c>
      <c r="AJ705" s="11"/>
      <c r="AK705" s="11"/>
      <c r="AL705" s="11"/>
      <c r="AM705" s="11"/>
      <c r="AN705" s="11">
        <v>283</v>
      </c>
      <c r="AO705" s="11">
        <v>70</v>
      </c>
      <c r="AP705" s="11">
        <v>60</v>
      </c>
      <c r="AQ705" s="11"/>
      <c r="AR705" s="11"/>
      <c r="AS705" s="11">
        <v>3</v>
      </c>
      <c r="AT705" s="20" t="str">
        <f>HYPERLINK("http://www.openstreetmap.org/?mlat=34.5934&amp;mlon=43.6775&amp;zoom=12#map=12/34.5934/43.6775","Maplink1")</f>
        <v>Maplink1</v>
      </c>
      <c r="AU705" s="20" t="str">
        <f>HYPERLINK("https://www.google.iq/maps/search/+34.5934,43.6775/@34.5934,43.6775,14z?hl=en","Maplink2")</f>
        <v>Maplink2</v>
      </c>
      <c r="AV705" s="20" t="str">
        <f>HYPERLINK("http://www.bing.com/maps/?lvl=14&amp;sty=h&amp;cp=34.5934~43.6775&amp;sp=point.34.5934_43.6775","Maplink3")</f>
        <v>Maplink3</v>
      </c>
    </row>
    <row r="706" spans="1:48" s="19" customFormat="1" x14ac:dyDescent="0.25">
      <c r="A706" s="9">
        <v>23244</v>
      </c>
      <c r="B706" s="10" t="s">
        <v>22</v>
      </c>
      <c r="C706" s="10" t="s">
        <v>1428</v>
      </c>
      <c r="D706" s="10" t="s">
        <v>1472</v>
      </c>
      <c r="E706" s="10" t="s">
        <v>178</v>
      </c>
      <c r="F706" s="10">
        <v>34.6864536</v>
      </c>
      <c r="G706" s="10">
        <v>43.716350300000002</v>
      </c>
      <c r="H706" s="11">
        <v>292</v>
      </c>
      <c r="I706" s="11">
        <v>1752</v>
      </c>
      <c r="J706" s="11"/>
      <c r="K706" s="11"/>
      <c r="L706" s="11">
        <v>14</v>
      </c>
      <c r="M706" s="11"/>
      <c r="N706" s="11"/>
      <c r="O706" s="11"/>
      <c r="P706" s="11">
        <v>29</v>
      </c>
      <c r="Q706" s="11"/>
      <c r="R706" s="11">
        <v>116</v>
      </c>
      <c r="S706" s="11"/>
      <c r="T706" s="11"/>
      <c r="U706" s="11"/>
      <c r="V706" s="11"/>
      <c r="W706" s="11"/>
      <c r="X706" s="11">
        <v>133</v>
      </c>
      <c r="Y706" s="11"/>
      <c r="Z706" s="11"/>
      <c r="AA706" s="11"/>
      <c r="AB706" s="11"/>
      <c r="AC706" s="11">
        <v>280</v>
      </c>
      <c r="AD706" s="11"/>
      <c r="AE706" s="11"/>
      <c r="AF706" s="11"/>
      <c r="AG706" s="11"/>
      <c r="AH706" s="11"/>
      <c r="AI706" s="11">
        <v>12</v>
      </c>
      <c r="AJ706" s="11"/>
      <c r="AK706" s="11"/>
      <c r="AL706" s="11"/>
      <c r="AM706" s="11"/>
      <c r="AN706" s="11">
        <v>280</v>
      </c>
      <c r="AO706" s="11">
        <v>12</v>
      </c>
      <c r="AP706" s="11"/>
      <c r="AQ706" s="11"/>
      <c r="AR706" s="11"/>
      <c r="AS706" s="11"/>
      <c r="AT706" s="20" t="str">
        <f>HYPERLINK("http://www.openstreetmap.org/?mlat=34.6865&amp;mlon=43.7164&amp;zoom=12#map=12/34.6865/43.7164","Maplink1")</f>
        <v>Maplink1</v>
      </c>
      <c r="AU706" s="20" t="str">
        <f>HYPERLINK("https://www.google.iq/maps/search/+34.6865,43.7164/@34.6865,43.7164,14z?hl=en","Maplink2")</f>
        <v>Maplink2</v>
      </c>
      <c r="AV706" s="20" t="str">
        <f>HYPERLINK("http://www.bing.com/maps/?lvl=14&amp;sty=h&amp;cp=34.6865~43.7164&amp;sp=point.34.6865_43.7164","Maplink3")</f>
        <v>Maplink3</v>
      </c>
    </row>
    <row r="707" spans="1:48" s="19" customFormat="1" x14ac:dyDescent="0.25">
      <c r="A707" s="9">
        <v>23206</v>
      </c>
      <c r="B707" s="10" t="s">
        <v>22</v>
      </c>
      <c r="C707" s="10" t="s">
        <v>1428</v>
      </c>
      <c r="D707" s="10" t="s">
        <v>1473</v>
      </c>
      <c r="E707" s="10" t="s">
        <v>1474</v>
      </c>
      <c r="F707" s="10">
        <v>34.602993669999996</v>
      </c>
      <c r="G707" s="10">
        <v>43.677188630000003</v>
      </c>
      <c r="H707" s="11">
        <v>426</v>
      </c>
      <c r="I707" s="11">
        <v>2556</v>
      </c>
      <c r="J707" s="11"/>
      <c r="K707" s="11"/>
      <c r="L707" s="11">
        <v>72</v>
      </c>
      <c r="M707" s="11"/>
      <c r="N707" s="11">
        <v>18</v>
      </c>
      <c r="O707" s="11"/>
      <c r="P707" s="11">
        <v>55</v>
      </c>
      <c r="Q707" s="11"/>
      <c r="R707" s="11">
        <v>185</v>
      </c>
      <c r="S707" s="11"/>
      <c r="T707" s="11"/>
      <c r="U707" s="11"/>
      <c r="V707" s="11">
        <v>2</v>
      </c>
      <c r="W707" s="11"/>
      <c r="X707" s="11">
        <v>55</v>
      </c>
      <c r="Y707" s="11">
        <v>39</v>
      </c>
      <c r="Z707" s="11"/>
      <c r="AA707" s="11"/>
      <c r="AB707" s="11"/>
      <c r="AC707" s="11">
        <v>391</v>
      </c>
      <c r="AD707" s="11"/>
      <c r="AE707" s="11"/>
      <c r="AF707" s="11"/>
      <c r="AG707" s="11"/>
      <c r="AH707" s="11"/>
      <c r="AI707" s="11">
        <v>35</v>
      </c>
      <c r="AJ707" s="11"/>
      <c r="AK707" s="11"/>
      <c r="AL707" s="11"/>
      <c r="AM707" s="11"/>
      <c r="AN707" s="11">
        <v>350</v>
      </c>
      <c r="AO707" s="11">
        <v>65</v>
      </c>
      <c r="AP707" s="11">
        <v>9</v>
      </c>
      <c r="AQ707" s="11"/>
      <c r="AR707" s="11"/>
      <c r="AS707" s="11">
        <v>2</v>
      </c>
      <c r="AT707" s="20" t="str">
        <f>HYPERLINK("http://www.openstreetmap.org/?mlat=34.603&amp;mlon=43.6772&amp;zoom=12#map=12/34.603/43.6772","Maplink1")</f>
        <v>Maplink1</v>
      </c>
      <c r="AU707" s="20" t="str">
        <f>HYPERLINK("https://www.google.iq/maps/search/+34.603,43.6772/@34.603,43.6772,14z?hl=en","Maplink2")</f>
        <v>Maplink2</v>
      </c>
      <c r="AV707" s="20" t="str">
        <f>HYPERLINK("http://www.bing.com/maps/?lvl=14&amp;sty=h&amp;cp=34.603~43.6772&amp;sp=point.34.603_43.6772","Maplink3")</f>
        <v>Maplink3</v>
      </c>
    </row>
    <row r="708" spans="1:48" s="19" customFormat="1" x14ac:dyDescent="0.25">
      <c r="A708" s="9">
        <v>24247</v>
      </c>
      <c r="B708" s="10" t="s">
        <v>22</v>
      </c>
      <c r="C708" s="10" t="s">
        <v>1428</v>
      </c>
      <c r="D708" s="10" t="s">
        <v>1475</v>
      </c>
      <c r="E708" s="10" t="s">
        <v>1476</v>
      </c>
      <c r="F708" s="10">
        <v>34.691659899999998</v>
      </c>
      <c r="G708" s="10">
        <v>43.710122949999999</v>
      </c>
      <c r="H708" s="11">
        <v>45</v>
      </c>
      <c r="I708" s="11">
        <v>270</v>
      </c>
      <c r="J708" s="11"/>
      <c r="K708" s="11"/>
      <c r="L708" s="11"/>
      <c r="M708" s="11"/>
      <c r="N708" s="11"/>
      <c r="O708" s="11"/>
      <c r="P708" s="11"/>
      <c r="Q708" s="11"/>
      <c r="R708" s="11">
        <v>45</v>
      </c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>
        <v>45</v>
      </c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>
        <v>45</v>
      </c>
      <c r="AP708" s="11"/>
      <c r="AQ708" s="11"/>
      <c r="AR708" s="11"/>
      <c r="AS708" s="11"/>
      <c r="AT708" s="20" t="str">
        <f>HYPERLINK("http://www.openstreetmap.org/?mlat=34.6917&amp;mlon=43.7101&amp;zoom=12#map=12/34.6917/43.7101","Maplink1")</f>
        <v>Maplink1</v>
      </c>
      <c r="AU708" s="20" t="str">
        <f>HYPERLINK("https://www.google.iq/maps/search/+34.6917,43.7101/@34.6917,43.7101,14z?hl=en","Maplink2")</f>
        <v>Maplink2</v>
      </c>
      <c r="AV708" s="20" t="str">
        <f>HYPERLINK("http://www.bing.com/maps/?lvl=14&amp;sty=h&amp;cp=34.6917~43.7101&amp;sp=point.34.6917_43.7101","Maplink3")</f>
        <v>Maplink3</v>
      </c>
    </row>
    <row r="709" spans="1:48" s="19" customFormat="1" x14ac:dyDescent="0.25">
      <c r="A709" s="9">
        <v>22331</v>
      </c>
      <c r="B709" s="10" t="s">
        <v>22</v>
      </c>
      <c r="C709" s="10" t="s">
        <v>1428</v>
      </c>
      <c r="D709" s="10" t="s">
        <v>1477</v>
      </c>
      <c r="E709" s="10" t="s">
        <v>1478</v>
      </c>
      <c r="F709" s="10">
        <v>34.611737460000001</v>
      </c>
      <c r="G709" s="10">
        <v>43.673758929999998</v>
      </c>
      <c r="H709" s="11">
        <v>507</v>
      </c>
      <c r="I709" s="11">
        <v>3042</v>
      </c>
      <c r="J709" s="11"/>
      <c r="K709" s="11"/>
      <c r="L709" s="11">
        <v>6</v>
      </c>
      <c r="M709" s="11"/>
      <c r="N709" s="11"/>
      <c r="O709" s="11"/>
      <c r="P709" s="11">
        <v>117</v>
      </c>
      <c r="Q709" s="11"/>
      <c r="R709" s="11">
        <v>257</v>
      </c>
      <c r="S709" s="11"/>
      <c r="T709" s="11"/>
      <c r="U709" s="11"/>
      <c r="V709" s="11"/>
      <c r="W709" s="11"/>
      <c r="X709" s="11">
        <v>52</v>
      </c>
      <c r="Y709" s="11">
        <v>75</v>
      </c>
      <c r="Z709" s="11"/>
      <c r="AA709" s="11"/>
      <c r="AB709" s="11"/>
      <c r="AC709" s="11">
        <v>484</v>
      </c>
      <c r="AD709" s="11"/>
      <c r="AE709" s="11"/>
      <c r="AF709" s="11"/>
      <c r="AG709" s="11"/>
      <c r="AH709" s="11"/>
      <c r="AI709" s="11">
        <v>23</v>
      </c>
      <c r="AJ709" s="11"/>
      <c r="AK709" s="11"/>
      <c r="AL709" s="11"/>
      <c r="AM709" s="11"/>
      <c r="AN709" s="11">
        <v>5</v>
      </c>
      <c r="AO709" s="11">
        <v>430</v>
      </c>
      <c r="AP709" s="11">
        <v>72</v>
      </c>
      <c r="AQ709" s="11"/>
      <c r="AR709" s="11"/>
      <c r="AS709" s="11"/>
      <c r="AT709" s="20" t="str">
        <f>HYPERLINK("http://www.openstreetmap.org/?mlat=34.6117&amp;mlon=43.6738&amp;zoom=12#map=12/34.6117/43.6738","Maplink1")</f>
        <v>Maplink1</v>
      </c>
      <c r="AU709" s="20" t="str">
        <f>HYPERLINK("https://www.google.iq/maps/search/+34.6117,43.6738/@34.6117,43.6738,14z?hl=en","Maplink2")</f>
        <v>Maplink2</v>
      </c>
      <c r="AV709" s="20" t="str">
        <f>HYPERLINK("http://www.bing.com/maps/?lvl=14&amp;sty=h&amp;cp=34.6117~43.6738&amp;sp=point.34.6117_43.6738","Maplink3")</f>
        <v>Maplink3</v>
      </c>
    </row>
    <row r="710" spans="1:48" s="19" customFormat="1" x14ac:dyDescent="0.25">
      <c r="A710" s="9">
        <v>20638</v>
      </c>
      <c r="B710" s="10" t="s">
        <v>22</v>
      </c>
      <c r="C710" s="10" t="s">
        <v>1428</v>
      </c>
      <c r="D710" s="10" t="s">
        <v>179</v>
      </c>
      <c r="E710" s="10" t="s">
        <v>180</v>
      </c>
      <c r="F710" s="10">
        <v>34.633057360000002</v>
      </c>
      <c r="G710" s="10">
        <v>43.667286799999999</v>
      </c>
      <c r="H710" s="11">
        <v>800</v>
      </c>
      <c r="I710" s="11">
        <v>4800</v>
      </c>
      <c r="J710" s="11"/>
      <c r="K710" s="11"/>
      <c r="L710" s="11">
        <v>43</v>
      </c>
      <c r="M710" s="11"/>
      <c r="N710" s="11">
        <v>27</v>
      </c>
      <c r="O710" s="11"/>
      <c r="P710" s="11">
        <v>235</v>
      </c>
      <c r="Q710" s="11"/>
      <c r="R710" s="11">
        <v>390</v>
      </c>
      <c r="S710" s="11"/>
      <c r="T710" s="11"/>
      <c r="U710" s="11"/>
      <c r="V710" s="11"/>
      <c r="W710" s="11"/>
      <c r="X710" s="11">
        <v>55</v>
      </c>
      <c r="Y710" s="11">
        <v>50</v>
      </c>
      <c r="Z710" s="11"/>
      <c r="AA710" s="11"/>
      <c r="AB710" s="11"/>
      <c r="AC710" s="11">
        <v>570</v>
      </c>
      <c r="AD710" s="11"/>
      <c r="AE710" s="11"/>
      <c r="AF710" s="11"/>
      <c r="AG710" s="11"/>
      <c r="AH710" s="11"/>
      <c r="AI710" s="11">
        <v>230</v>
      </c>
      <c r="AJ710" s="11"/>
      <c r="AK710" s="11"/>
      <c r="AL710" s="11"/>
      <c r="AM710" s="11"/>
      <c r="AN710" s="11">
        <v>365</v>
      </c>
      <c r="AO710" s="11">
        <v>335</v>
      </c>
      <c r="AP710" s="11">
        <v>100</v>
      </c>
      <c r="AQ710" s="11"/>
      <c r="AR710" s="11"/>
      <c r="AS710" s="11"/>
      <c r="AT710" s="20" t="str">
        <f>HYPERLINK("http://www.openstreetmap.org/?mlat=34.6331&amp;mlon=43.6673&amp;zoom=12#map=12/34.6331/43.6673","Maplink1")</f>
        <v>Maplink1</v>
      </c>
      <c r="AU710" s="20" t="str">
        <f>HYPERLINK("https://www.google.iq/maps/search/+34.6331,43.6673/@34.6331,43.6673,14z?hl=en","Maplink2")</f>
        <v>Maplink2</v>
      </c>
      <c r="AV710" s="20" t="str">
        <f>HYPERLINK("http://www.bing.com/maps/?lvl=14&amp;sty=h&amp;cp=34.6331~43.6673&amp;sp=point.34.6331_43.6673","Maplink3")</f>
        <v>Maplink3</v>
      </c>
    </row>
    <row r="711" spans="1:48" s="19" customFormat="1" x14ac:dyDescent="0.25">
      <c r="A711" s="9">
        <v>20608</v>
      </c>
      <c r="B711" s="10" t="s">
        <v>22</v>
      </c>
      <c r="C711" s="10" t="s">
        <v>1428</v>
      </c>
      <c r="D711" s="10" t="s">
        <v>1479</v>
      </c>
      <c r="E711" s="10" t="s">
        <v>1480</v>
      </c>
      <c r="F711" s="10">
        <v>34.6975962</v>
      </c>
      <c r="G711" s="10">
        <v>43.718533999999998</v>
      </c>
      <c r="H711" s="11">
        <v>775</v>
      </c>
      <c r="I711" s="11">
        <v>4650</v>
      </c>
      <c r="J711" s="11"/>
      <c r="K711" s="11"/>
      <c r="L711" s="11"/>
      <c r="M711" s="11"/>
      <c r="N711" s="11"/>
      <c r="O711" s="11"/>
      <c r="P711" s="11"/>
      <c r="Q711" s="11"/>
      <c r="R711" s="11">
        <v>775</v>
      </c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>
        <v>770</v>
      </c>
      <c r="AD711" s="11"/>
      <c r="AE711" s="11"/>
      <c r="AF711" s="11"/>
      <c r="AG711" s="11"/>
      <c r="AH711" s="11"/>
      <c r="AI711" s="11">
        <v>5</v>
      </c>
      <c r="AJ711" s="11"/>
      <c r="AK711" s="11"/>
      <c r="AL711" s="11"/>
      <c r="AM711" s="11">
        <v>5</v>
      </c>
      <c r="AN711" s="11"/>
      <c r="AO711" s="11">
        <v>420</v>
      </c>
      <c r="AP711" s="11">
        <v>350</v>
      </c>
      <c r="AQ711" s="11"/>
      <c r="AR711" s="11"/>
      <c r="AS711" s="11"/>
      <c r="AT711" s="20" t="str">
        <f>HYPERLINK("http://www.openstreetmap.org/?mlat=34.6976&amp;mlon=43.7185&amp;zoom=12#map=12/34.6976/43.7185","Maplink1")</f>
        <v>Maplink1</v>
      </c>
      <c r="AU711" s="20" t="str">
        <f>HYPERLINK("https://www.google.iq/maps/search/+34.6976,43.7185/@34.6976,43.7185,14z?hl=en","Maplink2")</f>
        <v>Maplink2</v>
      </c>
      <c r="AV711" s="20" t="str">
        <f>HYPERLINK("http://www.bing.com/maps/?lvl=14&amp;sty=h&amp;cp=34.6976~43.7185&amp;sp=point.34.6976_43.7185","Maplink3")</f>
        <v>Maplink3</v>
      </c>
    </row>
    <row r="712" spans="1:48" s="19" customFormat="1" x14ac:dyDescent="0.25">
      <c r="A712" s="9">
        <v>25960</v>
      </c>
      <c r="B712" s="10" t="s">
        <v>22</v>
      </c>
      <c r="C712" s="10" t="s">
        <v>1428</v>
      </c>
      <c r="D712" s="10" t="s">
        <v>1481</v>
      </c>
      <c r="E712" s="10" t="s">
        <v>1482</v>
      </c>
      <c r="F712" s="10">
        <v>34.595911000000001</v>
      </c>
      <c r="G712" s="10">
        <v>43.673602029999998</v>
      </c>
      <c r="H712" s="11">
        <v>1155</v>
      </c>
      <c r="I712" s="11">
        <v>6930</v>
      </c>
      <c r="J712" s="11"/>
      <c r="K712" s="11"/>
      <c r="L712" s="11">
        <v>36</v>
      </c>
      <c r="M712" s="11"/>
      <c r="N712" s="11">
        <v>7</v>
      </c>
      <c r="O712" s="11"/>
      <c r="P712" s="11">
        <v>289</v>
      </c>
      <c r="Q712" s="11"/>
      <c r="R712" s="11">
        <v>355</v>
      </c>
      <c r="S712" s="11"/>
      <c r="T712" s="11"/>
      <c r="U712" s="11"/>
      <c r="V712" s="11">
        <v>2</v>
      </c>
      <c r="W712" s="11"/>
      <c r="X712" s="11">
        <v>443</v>
      </c>
      <c r="Y712" s="11">
        <v>23</v>
      </c>
      <c r="Z712" s="11"/>
      <c r="AA712" s="11"/>
      <c r="AB712" s="11"/>
      <c r="AC712" s="11">
        <v>555</v>
      </c>
      <c r="AD712" s="11"/>
      <c r="AE712" s="11"/>
      <c r="AF712" s="11"/>
      <c r="AG712" s="11"/>
      <c r="AH712" s="11"/>
      <c r="AI712" s="11">
        <v>600</v>
      </c>
      <c r="AJ712" s="11"/>
      <c r="AK712" s="11"/>
      <c r="AL712" s="11"/>
      <c r="AM712" s="11"/>
      <c r="AN712" s="11">
        <v>509</v>
      </c>
      <c r="AO712" s="11">
        <v>450</v>
      </c>
      <c r="AP712" s="11">
        <v>194</v>
      </c>
      <c r="AQ712" s="11"/>
      <c r="AR712" s="11"/>
      <c r="AS712" s="11">
        <v>2</v>
      </c>
      <c r="AT712" s="20" t="str">
        <f>HYPERLINK("http://www.openstreetmap.org/?mlat=34.5959&amp;mlon=43.6736&amp;zoom=12#map=12/34.5959/43.6736","Maplink1")</f>
        <v>Maplink1</v>
      </c>
      <c r="AU712" s="20" t="str">
        <f>HYPERLINK("https://www.google.iq/maps/search/+34.5959,43.6736/@34.5959,43.6736,14z?hl=en","Maplink2")</f>
        <v>Maplink2</v>
      </c>
      <c r="AV712" s="20" t="str">
        <f>HYPERLINK("http://www.bing.com/maps/?lvl=14&amp;sty=h&amp;cp=34.5959~43.6736&amp;sp=point.34.5959_43.6736","Maplink3")</f>
        <v>Maplink3</v>
      </c>
    </row>
    <row r="713" spans="1:48" s="19" customFormat="1" x14ac:dyDescent="0.25">
      <c r="A713" s="9">
        <v>22812</v>
      </c>
      <c r="B713" s="10" t="s">
        <v>22</v>
      </c>
      <c r="C713" s="10" t="s">
        <v>1428</v>
      </c>
      <c r="D713" s="10" t="s">
        <v>1483</v>
      </c>
      <c r="E713" s="10" t="s">
        <v>1484</v>
      </c>
      <c r="F713" s="10">
        <v>34.600511169999997</v>
      </c>
      <c r="G713" s="10">
        <v>43.675698274699997</v>
      </c>
      <c r="H713" s="11">
        <v>740</v>
      </c>
      <c r="I713" s="11">
        <v>4440</v>
      </c>
      <c r="J713" s="11"/>
      <c r="K713" s="11"/>
      <c r="L713" s="11">
        <v>18</v>
      </c>
      <c r="M713" s="11"/>
      <c r="N713" s="11"/>
      <c r="O713" s="11"/>
      <c r="P713" s="11">
        <v>229</v>
      </c>
      <c r="Q713" s="11"/>
      <c r="R713" s="11">
        <v>307</v>
      </c>
      <c r="S713" s="11"/>
      <c r="T713" s="11"/>
      <c r="U713" s="11"/>
      <c r="V713" s="11"/>
      <c r="W713" s="11"/>
      <c r="X713" s="11">
        <v>37</v>
      </c>
      <c r="Y713" s="11">
        <v>149</v>
      </c>
      <c r="Z713" s="11"/>
      <c r="AA713" s="11"/>
      <c r="AB713" s="11"/>
      <c r="AC713" s="11">
        <v>740</v>
      </c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>
        <v>700</v>
      </c>
      <c r="AO713" s="11">
        <v>40</v>
      </c>
      <c r="AP713" s="11"/>
      <c r="AQ713" s="11"/>
      <c r="AR713" s="11"/>
      <c r="AS713" s="11"/>
      <c r="AT713" s="20" t="str">
        <f>HYPERLINK("http://www.openstreetmap.org/?mlat=34.6005&amp;mlon=43.6757&amp;zoom=12#map=12/34.6005/43.6757","Maplink1")</f>
        <v>Maplink1</v>
      </c>
      <c r="AU713" s="20" t="str">
        <f>HYPERLINK("https://www.google.iq/maps/search/+34.6005,43.6757/@34.6005,43.6757,14z?hl=en","Maplink2")</f>
        <v>Maplink2</v>
      </c>
      <c r="AV713" s="20" t="str">
        <f>HYPERLINK("http://www.bing.com/maps/?lvl=14&amp;sty=h&amp;cp=34.6005~43.6757&amp;sp=point.34.6005_43.6757","Maplink3")</f>
        <v>Maplink3</v>
      </c>
    </row>
    <row r="714" spans="1:48" s="19" customFormat="1" x14ac:dyDescent="0.25">
      <c r="A714" s="9">
        <v>21592</v>
      </c>
      <c r="B714" s="10" t="s">
        <v>22</v>
      </c>
      <c r="C714" s="10" t="s">
        <v>1428</v>
      </c>
      <c r="D714" s="10" t="s">
        <v>1485</v>
      </c>
      <c r="E714" s="10" t="s">
        <v>1486</v>
      </c>
      <c r="F714" s="10">
        <v>34.712789361399999</v>
      </c>
      <c r="G714" s="10">
        <v>43.719131117700002</v>
      </c>
      <c r="H714" s="11">
        <v>765</v>
      </c>
      <c r="I714" s="11">
        <v>4590</v>
      </c>
      <c r="J714" s="11"/>
      <c r="K714" s="11"/>
      <c r="L714" s="11"/>
      <c r="M714" s="11"/>
      <c r="N714" s="11"/>
      <c r="O714" s="11"/>
      <c r="P714" s="11">
        <v>200</v>
      </c>
      <c r="Q714" s="11"/>
      <c r="R714" s="11">
        <v>415</v>
      </c>
      <c r="S714" s="11"/>
      <c r="T714" s="11"/>
      <c r="U714" s="11"/>
      <c r="V714" s="11"/>
      <c r="W714" s="11"/>
      <c r="X714" s="11">
        <v>150</v>
      </c>
      <c r="Y714" s="11"/>
      <c r="Z714" s="11"/>
      <c r="AA714" s="11"/>
      <c r="AB714" s="11"/>
      <c r="AC714" s="11">
        <v>755</v>
      </c>
      <c r="AD714" s="11"/>
      <c r="AE714" s="11"/>
      <c r="AF714" s="11"/>
      <c r="AG714" s="11"/>
      <c r="AH714" s="11"/>
      <c r="AI714" s="11">
        <v>10</v>
      </c>
      <c r="AJ714" s="11"/>
      <c r="AK714" s="11"/>
      <c r="AL714" s="11"/>
      <c r="AM714" s="11"/>
      <c r="AN714" s="11">
        <v>615</v>
      </c>
      <c r="AO714" s="11"/>
      <c r="AP714" s="11">
        <v>150</v>
      </c>
      <c r="AQ714" s="11"/>
      <c r="AR714" s="11"/>
      <c r="AS714" s="11"/>
      <c r="AT714" s="20" t="str">
        <f>HYPERLINK("http://www.openstreetmap.org/?mlat=34.7128&amp;mlon=43.7191&amp;zoom=12#map=12/34.7128/43.7191","Maplink1")</f>
        <v>Maplink1</v>
      </c>
      <c r="AU714" s="20" t="str">
        <f>HYPERLINK("https://www.google.iq/maps/search/+34.7128,43.7191/@34.7128,43.7191,14z?hl=en","Maplink2")</f>
        <v>Maplink2</v>
      </c>
      <c r="AV714" s="20" t="str">
        <f>HYPERLINK("http://www.bing.com/maps/?lvl=14&amp;sty=h&amp;cp=34.7128~43.7191&amp;sp=point.34.7128_43.7191","Maplink3")</f>
        <v>Maplink3</v>
      </c>
    </row>
    <row r="715" spans="1:48" s="19" customFormat="1" x14ac:dyDescent="0.25">
      <c r="A715" s="9">
        <v>22468</v>
      </c>
      <c r="B715" s="10" t="s">
        <v>22</v>
      </c>
      <c r="C715" s="10" t="s">
        <v>1428</v>
      </c>
      <c r="D715" s="10" t="s">
        <v>1487</v>
      </c>
      <c r="E715" s="10" t="s">
        <v>1488</v>
      </c>
      <c r="F715" s="10">
        <v>34.587520099999999</v>
      </c>
      <c r="G715" s="10">
        <v>43.673181399999997</v>
      </c>
      <c r="H715" s="11">
        <v>1302</v>
      </c>
      <c r="I715" s="11">
        <v>7812</v>
      </c>
      <c r="J715" s="11"/>
      <c r="K715" s="11"/>
      <c r="L715" s="11">
        <v>23</v>
      </c>
      <c r="M715" s="11"/>
      <c r="N715" s="11"/>
      <c r="O715" s="11"/>
      <c r="P715" s="11">
        <v>377</v>
      </c>
      <c r="Q715" s="11"/>
      <c r="R715" s="11">
        <v>753</v>
      </c>
      <c r="S715" s="11"/>
      <c r="T715" s="11"/>
      <c r="U715" s="11"/>
      <c r="V715" s="11">
        <v>3</v>
      </c>
      <c r="W715" s="11"/>
      <c r="X715" s="11">
        <v>44</v>
      </c>
      <c r="Y715" s="11">
        <v>102</v>
      </c>
      <c r="Z715" s="11"/>
      <c r="AA715" s="11"/>
      <c r="AB715" s="11"/>
      <c r="AC715" s="11">
        <v>1244</v>
      </c>
      <c r="AD715" s="11"/>
      <c r="AE715" s="11"/>
      <c r="AF715" s="11"/>
      <c r="AG715" s="11"/>
      <c r="AH715" s="11"/>
      <c r="AI715" s="11">
        <v>58</v>
      </c>
      <c r="AJ715" s="11"/>
      <c r="AK715" s="11"/>
      <c r="AL715" s="11"/>
      <c r="AM715" s="11"/>
      <c r="AN715" s="11">
        <v>900</v>
      </c>
      <c r="AO715" s="11">
        <v>389</v>
      </c>
      <c r="AP715" s="11">
        <v>13</v>
      </c>
      <c r="AQ715" s="11"/>
      <c r="AR715" s="11"/>
      <c r="AS715" s="11"/>
      <c r="AT715" s="20" t="str">
        <f>HYPERLINK("http://www.openstreetmap.org/?mlat=34.5875&amp;mlon=43.6732&amp;zoom=12#map=12/34.5875/43.6732","Maplink1")</f>
        <v>Maplink1</v>
      </c>
      <c r="AU715" s="20" t="str">
        <f>HYPERLINK("https://www.google.iq/maps/search/+34.5875,43.6732/@34.5875,43.6732,14z?hl=en","Maplink2")</f>
        <v>Maplink2</v>
      </c>
      <c r="AV715" s="20" t="str">
        <f>HYPERLINK("http://www.bing.com/maps/?lvl=14&amp;sty=h&amp;cp=34.5875~43.6732&amp;sp=point.34.5875_43.6732","Maplink3")</f>
        <v>Maplink3</v>
      </c>
    </row>
    <row r="716" spans="1:48" s="19" customFormat="1" x14ac:dyDescent="0.25">
      <c r="A716" s="9">
        <v>28412</v>
      </c>
      <c r="B716" s="10" t="s">
        <v>22</v>
      </c>
      <c r="C716" s="10" t="s">
        <v>1428</v>
      </c>
      <c r="D716" s="10" t="s">
        <v>1489</v>
      </c>
      <c r="E716" s="10" t="s">
        <v>1490</v>
      </c>
      <c r="F716" s="10">
        <v>34.601486000000001</v>
      </c>
      <c r="G716" s="10">
        <v>43.671975000000003</v>
      </c>
      <c r="H716" s="11">
        <v>118</v>
      </c>
      <c r="I716" s="11">
        <v>708</v>
      </c>
      <c r="J716" s="11"/>
      <c r="K716" s="11"/>
      <c r="L716" s="11"/>
      <c r="M716" s="11"/>
      <c r="N716" s="11"/>
      <c r="O716" s="11"/>
      <c r="P716" s="11"/>
      <c r="Q716" s="11"/>
      <c r="R716" s="11">
        <v>3</v>
      </c>
      <c r="S716" s="11"/>
      <c r="T716" s="11"/>
      <c r="U716" s="11"/>
      <c r="V716" s="11"/>
      <c r="W716" s="11"/>
      <c r="X716" s="11">
        <v>115</v>
      </c>
      <c r="Y716" s="11"/>
      <c r="Z716" s="11"/>
      <c r="AA716" s="11"/>
      <c r="AB716" s="11"/>
      <c r="AC716" s="11">
        <v>90</v>
      </c>
      <c r="AD716" s="11"/>
      <c r="AE716" s="11"/>
      <c r="AF716" s="11"/>
      <c r="AG716" s="11"/>
      <c r="AH716" s="11"/>
      <c r="AI716" s="11">
        <v>28</v>
      </c>
      <c r="AJ716" s="11"/>
      <c r="AK716" s="11"/>
      <c r="AL716" s="11"/>
      <c r="AM716" s="11"/>
      <c r="AN716" s="11">
        <v>75</v>
      </c>
      <c r="AO716" s="11">
        <v>23</v>
      </c>
      <c r="AP716" s="11">
        <v>20</v>
      </c>
      <c r="AQ716" s="11"/>
      <c r="AR716" s="11"/>
      <c r="AS716" s="11"/>
      <c r="AT716" s="20" t="str">
        <f>HYPERLINK("http://www.openstreetmap.org/?mlat=34.6015&amp;mlon=43.672&amp;zoom=12#map=12/34.6015/43.672","Maplink1")</f>
        <v>Maplink1</v>
      </c>
      <c r="AU716" s="20" t="str">
        <f>HYPERLINK("https://www.google.iq/maps/search/+34.6015,43.672/@34.6015,43.672,14z?hl=en","Maplink2")</f>
        <v>Maplink2</v>
      </c>
      <c r="AV716" s="20" t="str">
        <f>HYPERLINK("http://www.bing.com/maps/?lvl=14&amp;sty=h&amp;cp=34.6015~43.672&amp;sp=point.34.6015_43.672","Maplink3")</f>
        <v>Maplink3</v>
      </c>
    </row>
    <row r="717" spans="1:48" s="19" customFormat="1" x14ac:dyDescent="0.25">
      <c r="A717" s="9">
        <v>28478</v>
      </c>
      <c r="B717" s="10" t="s">
        <v>22</v>
      </c>
      <c r="C717" s="10" t="s">
        <v>1428</v>
      </c>
      <c r="D717" s="10" t="s">
        <v>1491</v>
      </c>
      <c r="E717" s="10" t="s">
        <v>1208</v>
      </c>
      <c r="F717" s="10">
        <v>34.596666710000001</v>
      </c>
      <c r="G717" s="10">
        <v>43.673562429999997</v>
      </c>
      <c r="H717" s="11">
        <v>207</v>
      </c>
      <c r="I717" s="11">
        <v>1242</v>
      </c>
      <c r="J717" s="11"/>
      <c r="K717" s="11"/>
      <c r="L717" s="11"/>
      <c r="M717" s="11"/>
      <c r="N717" s="11"/>
      <c r="O717" s="11"/>
      <c r="P717" s="11">
        <v>96</v>
      </c>
      <c r="Q717" s="11"/>
      <c r="R717" s="11">
        <v>105</v>
      </c>
      <c r="S717" s="11"/>
      <c r="T717" s="11"/>
      <c r="U717" s="11"/>
      <c r="V717" s="11"/>
      <c r="W717" s="11"/>
      <c r="X717" s="11">
        <v>6</v>
      </c>
      <c r="Y717" s="11"/>
      <c r="Z717" s="11"/>
      <c r="AA717" s="11"/>
      <c r="AB717" s="11"/>
      <c r="AC717" s="11">
        <v>185</v>
      </c>
      <c r="AD717" s="11"/>
      <c r="AE717" s="11"/>
      <c r="AF717" s="11"/>
      <c r="AG717" s="11"/>
      <c r="AH717" s="11"/>
      <c r="AI717" s="11">
        <v>22</v>
      </c>
      <c r="AJ717" s="11"/>
      <c r="AK717" s="11"/>
      <c r="AL717" s="11"/>
      <c r="AM717" s="11"/>
      <c r="AN717" s="11">
        <v>150</v>
      </c>
      <c r="AO717" s="11">
        <v>50</v>
      </c>
      <c r="AP717" s="11">
        <v>7</v>
      </c>
      <c r="AQ717" s="11"/>
      <c r="AR717" s="11"/>
      <c r="AS717" s="11"/>
      <c r="AT717" s="20" t="str">
        <f>HYPERLINK("http://www.openstreetmap.org/?mlat=34.5967&amp;mlon=43.6736&amp;zoom=12#map=12/34.5967/43.6736","Maplink1")</f>
        <v>Maplink1</v>
      </c>
      <c r="AU717" s="20" t="str">
        <f>HYPERLINK("https://www.google.iq/maps/search/+34.5967,43.6736/@34.5967,43.6736,14z?hl=en","Maplink2")</f>
        <v>Maplink2</v>
      </c>
      <c r="AV717" s="20" t="str">
        <f>HYPERLINK("http://www.bing.com/maps/?lvl=14&amp;sty=h&amp;cp=34.5967~43.6736&amp;sp=point.34.5967_43.6736","Maplink3")</f>
        <v>Maplink3</v>
      </c>
    </row>
    <row r="718" spans="1:48" s="19" customFormat="1" x14ac:dyDescent="0.25">
      <c r="A718" s="9">
        <v>20622</v>
      </c>
      <c r="B718" s="10" t="s">
        <v>22</v>
      </c>
      <c r="C718" s="10" t="s">
        <v>1428</v>
      </c>
      <c r="D718" s="10" t="s">
        <v>1492</v>
      </c>
      <c r="E718" s="10" t="s">
        <v>1493</v>
      </c>
      <c r="F718" s="10">
        <v>34.70311367</v>
      </c>
      <c r="G718" s="10">
        <v>43.612091700000001</v>
      </c>
      <c r="H718" s="11">
        <v>187</v>
      </c>
      <c r="I718" s="11">
        <v>1122</v>
      </c>
      <c r="J718" s="11"/>
      <c r="K718" s="11"/>
      <c r="L718" s="11">
        <v>36</v>
      </c>
      <c r="M718" s="11"/>
      <c r="N718" s="11">
        <v>5</v>
      </c>
      <c r="O718" s="11"/>
      <c r="P718" s="11"/>
      <c r="Q718" s="11"/>
      <c r="R718" s="11">
        <v>100</v>
      </c>
      <c r="S718" s="11"/>
      <c r="T718" s="11"/>
      <c r="U718" s="11"/>
      <c r="V718" s="11">
        <v>6</v>
      </c>
      <c r="W718" s="11"/>
      <c r="X718" s="11">
        <v>30</v>
      </c>
      <c r="Y718" s="11">
        <v>10</v>
      </c>
      <c r="Z718" s="11"/>
      <c r="AA718" s="11"/>
      <c r="AB718" s="11"/>
      <c r="AC718" s="11">
        <v>187</v>
      </c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>
        <v>187</v>
      </c>
      <c r="AO718" s="11"/>
      <c r="AP718" s="11"/>
      <c r="AQ718" s="11"/>
      <c r="AR718" s="11"/>
      <c r="AS718" s="11"/>
      <c r="AT718" s="20" t="str">
        <f>HYPERLINK("http://www.openstreetmap.org/?mlat=34.7031&amp;mlon=43.6121&amp;zoom=12#map=12/34.7031/43.6121","Maplink1")</f>
        <v>Maplink1</v>
      </c>
      <c r="AU718" s="20" t="str">
        <f>HYPERLINK("https://www.google.iq/maps/search/+34.7031,43.6121/@34.7031,43.6121,14z?hl=en","Maplink2")</f>
        <v>Maplink2</v>
      </c>
      <c r="AV718" s="20" t="str">
        <f>HYPERLINK("http://www.bing.com/maps/?lvl=14&amp;sty=h&amp;cp=34.7031~43.6121&amp;sp=point.34.7031_43.6121","Maplink3")</f>
        <v>Maplink3</v>
      </c>
    </row>
    <row r="719" spans="1:48" s="19" customFormat="1" x14ac:dyDescent="0.25">
      <c r="A719" s="9">
        <v>28413</v>
      </c>
      <c r="B719" s="10" t="s">
        <v>22</v>
      </c>
      <c r="C719" s="10" t="s">
        <v>1428</v>
      </c>
      <c r="D719" s="10" t="s">
        <v>1494</v>
      </c>
      <c r="E719" s="10" t="s">
        <v>148</v>
      </c>
      <c r="F719" s="10">
        <v>34.604170000000003</v>
      </c>
      <c r="G719" s="10">
        <v>43.66845</v>
      </c>
      <c r="H719" s="11">
        <v>80</v>
      </c>
      <c r="I719" s="11">
        <v>480</v>
      </c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>
        <v>80</v>
      </c>
      <c r="Y719" s="11"/>
      <c r="Z719" s="11"/>
      <c r="AA719" s="11"/>
      <c r="AB719" s="11"/>
      <c r="AC719" s="11">
        <v>65</v>
      </c>
      <c r="AD719" s="11"/>
      <c r="AE719" s="11"/>
      <c r="AF719" s="11"/>
      <c r="AG719" s="11"/>
      <c r="AH719" s="11"/>
      <c r="AI719" s="11">
        <v>15</v>
      </c>
      <c r="AJ719" s="11"/>
      <c r="AK719" s="11"/>
      <c r="AL719" s="11"/>
      <c r="AM719" s="11"/>
      <c r="AN719" s="11">
        <v>50</v>
      </c>
      <c r="AO719" s="11">
        <v>20</v>
      </c>
      <c r="AP719" s="11">
        <v>10</v>
      </c>
      <c r="AQ719" s="11"/>
      <c r="AR719" s="11"/>
      <c r="AS719" s="11"/>
      <c r="AT719" s="20" t="str">
        <f>HYPERLINK("http://www.openstreetmap.org/?mlat=34.6042&amp;mlon=43.6685&amp;zoom=12#map=12/34.6042/43.6685","Maplink1")</f>
        <v>Maplink1</v>
      </c>
      <c r="AU719" s="20" t="str">
        <f>HYPERLINK("https://www.google.iq/maps/search/+34.6042,43.6685/@34.6042,43.6685,14z?hl=en","Maplink2")</f>
        <v>Maplink2</v>
      </c>
      <c r="AV719" s="20" t="str">
        <f>HYPERLINK("http://www.bing.com/maps/?lvl=14&amp;sty=h&amp;cp=34.6042~43.6685&amp;sp=point.34.6042_43.6685","Maplink3")</f>
        <v>Maplink3</v>
      </c>
    </row>
    <row r="720" spans="1:48" s="19" customFormat="1" x14ac:dyDescent="0.25">
      <c r="A720" s="9">
        <v>22058</v>
      </c>
      <c r="B720" s="10" t="s">
        <v>22</v>
      </c>
      <c r="C720" s="10" t="s">
        <v>1428</v>
      </c>
      <c r="D720" s="10" t="s">
        <v>1495</v>
      </c>
      <c r="E720" s="10" t="s">
        <v>1496</v>
      </c>
      <c r="F720" s="10">
        <v>34.600582269999997</v>
      </c>
      <c r="G720" s="10">
        <v>43.653466680000001</v>
      </c>
      <c r="H720" s="11">
        <v>630</v>
      </c>
      <c r="I720" s="11">
        <v>3780</v>
      </c>
      <c r="J720" s="11"/>
      <c r="K720" s="11"/>
      <c r="L720" s="11">
        <v>25</v>
      </c>
      <c r="M720" s="11"/>
      <c r="N720" s="11"/>
      <c r="O720" s="11"/>
      <c r="P720" s="11">
        <v>122</v>
      </c>
      <c r="Q720" s="11"/>
      <c r="R720" s="11">
        <v>365</v>
      </c>
      <c r="S720" s="11"/>
      <c r="T720" s="11"/>
      <c r="U720" s="11"/>
      <c r="V720" s="11">
        <v>7</v>
      </c>
      <c r="W720" s="11"/>
      <c r="X720" s="11">
        <v>80</v>
      </c>
      <c r="Y720" s="11">
        <v>31</v>
      </c>
      <c r="Z720" s="11"/>
      <c r="AA720" s="11"/>
      <c r="AB720" s="11"/>
      <c r="AC720" s="11">
        <v>630</v>
      </c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>
        <v>583</v>
      </c>
      <c r="AO720" s="11">
        <v>30</v>
      </c>
      <c r="AP720" s="11">
        <v>3</v>
      </c>
      <c r="AQ720" s="11"/>
      <c r="AR720" s="11"/>
      <c r="AS720" s="11">
        <v>14</v>
      </c>
      <c r="AT720" s="20" t="str">
        <f>HYPERLINK("http://www.openstreetmap.org/?mlat=34.6006&amp;mlon=43.6535&amp;zoom=12#map=12/34.6006/43.6535","Maplink1")</f>
        <v>Maplink1</v>
      </c>
      <c r="AU720" s="20" t="str">
        <f>HYPERLINK("https://www.google.iq/maps/search/+34.6006,43.6535/@34.6006,43.6535,14z?hl=en","Maplink2")</f>
        <v>Maplink2</v>
      </c>
      <c r="AV720" s="20" t="str">
        <f>HYPERLINK("http://www.bing.com/maps/?lvl=14&amp;sty=h&amp;cp=34.6006~43.6535&amp;sp=point.34.6006_43.6535","Maplink3")</f>
        <v>Maplink3</v>
      </c>
    </row>
    <row r="721" spans="1:48" s="19" customFormat="1" x14ac:dyDescent="0.25">
      <c r="A721" s="9">
        <v>27369</v>
      </c>
      <c r="B721" s="10" t="s">
        <v>22</v>
      </c>
      <c r="C721" s="10" t="s">
        <v>1428</v>
      </c>
      <c r="D721" s="10" t="s">
        <v>1497</v>
      </c>
      <c r="E721" s="10" t="s">
        <v>1498</v>
      </c>
      <c r="F721" s="10">
        <v>34.589801450000003</v>
      </c>
      <c r="G721" s="10">
        <v>43.664852119999999</v>
      </c>
      <c r="H721" s="11">
        <v>751</v>
      </c>
      <c r="I721" s="11">
        <v>4506</v>
      </c>
      <c r="J721" s="11"/>
      <c r="K721" s="11"/>
      <c r="L721" s="11">
        <v>10</v>
      </c>
      <c r="M721" s="11"/>
      <c r="N721" s="11"/>
      <c r="O721" s="11"/>
      <c r="P721" s="11">
        <v>72</v>
      </c>
      <c r="Q721" s="11"/>
      <c r="R721" s="11">
        <v>490</v>
      </c>
      <c r="S721" s="11"/>
      <c r="T721" s="11"/>
      <c r="U721" s="11"/>
      <c r="V721" s="11">
        <v>9</v>
      </c>
      <c r="W721" s="11"/>
      <c r="X721" s="11">
        <v>145</v>
      </c>
      <c r="Y721" s="11">
        <v>25</v>
      </c>
      <c r="Z721" s="11"/>
      <c r="AA721" s="11"/>
      <c r="AB721" s="11"/>
      <c r="AC721" s="11">
        <v>451</v>
      </c>
      <c r="AD721" s="11"/>
      <c r="AE721" s="11"/>
      <c r="AF721" s="11">
        <v>300</v>
      </c>
      <c r="AG721" s="11"/>
      <c r="AH721" s="11"/>
      <c r="AI721" s="11"/>
      <c r="AJ721" s="11"/>
      <c r="AK721" s="11"/>
      <c r="AL721" s="11"/>
      <c r="AM721" s="11"/>
      <c r="AN721" s="11">
        <v>619</v>
      </c>
      <c r="AO721" s="11">
        <v>117</v>
      </c>
      <c r="AP721" s="11">
        <v>13</v>
      </c>
      <c r="AQ721" s="11"/>
      <c r="AR721" s="11"/>
      <c r="AS721" s="11">
        <v>2</v>
      </c>
      <c r="AT721" s="20" t="str">
        <f>HYPERLINK("http://www.openstreetmap.org/?mlat=34.5898&amp;mlon=43.6649&amp;zoom=12#map=12/34.5898/43.6649","Maplink1")</f>
        <v>Maplink1</v>
      </c>
      <c r="AU721" s="20" t="str">
        <f>HYPERLINK("https://www.google.iq/maps/search/+34.5898,43.6649/@34.5898,43.6649,14z?hl=en","Maplink2")</f>
        <v>Maplink2</v>
      </c>
      <c r="AV721" s="20" t="str">
        <f>HYPERLINK("http://www.bing.com/maps/?lvl=14&amp;sty=h&amp;cp=34.5898~43.6649&amp;sp=point.34.5898_43.6649","Maplink3")</f>
        <v>Maplink3</v>
      </c>
    </row>
    <row r="722" spans="1:48" s="19" customFormat="1" x14ac:dyDescent="0.25">
      <c r="A722" s="9">
        <v>27368</v>
      </c>
      <c r="B722" s="10" t="s">
        <v>22</v>
      </c>
      <c r="C722" s="10" t="s">
        <v>1428</v>
      </c>
      <c r="D722" s="10" t="s">
        <v>1499</v>
      </c>
      <c r="E722" s="10" t="s">
        <v>1500</v>
      </c>
      <c r="F722" s="10">
        <v>34.607758549000003</v>
      </c>
      <c r="G722" s="10">
        <v>43.668777849000001</v>
      </c>
      <c r="H722" s="11">
        <v>90</v>
      </c>
      <c r="I722" s="11">
        <v>540</v>
      </c>
      <c r="J722" s="11"/>
      <c r="K722" s="11"/>
      <c r="L722" s="11"/>
      <c r="M722" s="11"/>
      <c r="N722" s="11"/>
      <c r="O722" s="11"/>
      <c r="P722" s="11">
        <v>22</v>
      </c>
      <c r="Q722" s="11"/>
      <c r="R722" s="11">
        <v>28</v>
      </c>
      <c r="S722" s="11"/>
      <c r="T722" s="11"/>
      <c r="U722" s="11"/>
      <c r="V722" s="11"/>
      <c r="W722" s="11"/>
      <c r="X722" s="11">
        <v>40</v>
      </c>
      <c r="Y722" s="11"/>
      <c r="Z722" s="11"/>
      <c r="AA722" s="11"/>
      <c r="AB722" s="11"/>
      <c r="AC722" s="11">
        <v>86</v>
      </c>
      <c r="AD722" s="11"/>
      <c r="AE722" s="11"/>
      <c r="AF722" s="11"/>
      <c r="AG722" s="11"/>
      <c r="AH722" s="11"/>
      <c r="AI722" s="11">
        <v>4</v>
      </c>
      <c r="AJ722" s="11"/>
      <c r="AK722" s="11"/>
      <c r="AL722" s="11"/>
      <c r="AM722" s="11"/>
      <c r="AN722" s="11">
        <v>70</v>
      </c>
      <c r="AO722" s="11">
        <v>20</v>
      </c>
      <c r="AP722" s="11"/>
      <c r="AQ722" s="11"/>
      <c r="AR722" s="11"/>
      <c r="AS722" s="11"/>
      <c r="AT722" s="20" t="str">
        <f>HYPERLINK("http://www.openstreetmap.org/?mlat=34.6078&amp;mlon=43.6688&amp;zoom=12#map=12/34.6078/43.6688","Maplink1")</f>
        <v>Maplink1</v>
      </c>
      <c r="AU722" s="20" t="str">
        <f>HYPERLINK("https://www.google.iq/maps/search/+34.6078,43.6688/@34.6078,43.6688,14z?hl=en","Maplink2")</f>
        <v>Maplink2</v>
      </c>
      <c r="AV722" s="20" t="str">
        <f>HYPERLINK("http://www.bing.com/maps/?lvl=14&amp;sty=h&amp;cp=34.6078~43.6688&amp;sp=point.34.6078_43.6688","Maplink3")</f>
        <v>Maplink3</v>
      </c>
    </row>
    <row r="723" spans="1:48" s="19" customFormat="1" x14ac:dyDescent="0.25">
      <c r="A723" s="9">
        <v>22965</v>
      </c>
      <c r="B723" s="10" t="s">
        <v>22</v>
      </c>
      <c r="C723" s="10" t="s">
        <v>1428</v>
      </c>
      <c r="D723" s="10" t="s">
        <v>1501</v>
      </c>
      <c r="E723" s="10" t="s">
        <v>1502</v>
      </c>
      <c r="F723" s="10">
        <v>34.604444149999999</v>
      </c>
      <c r="G723" s="10">
        <v>43.685085970000003</v>
      </c>
      <c r="H723" s="11">
        <v>130</v>
      </c>
      <c r="I723" s="11">
        <v>780</v>
      </c>
      <c r="J723" s="11"/>
      <c r="K723" s="11"/>
      <c r="L723" s="11">
        <v>8</v>
      </c>
      <c r="M723" s="11"/>
      <c r="N723" s="11"/>
      <c r="O723" s="11"/>
      <c r="P723" s="11"/>
      <c r="Q723" s="11"/>
      <c r="R723" s="11">
        <v>46</v>
      </c>
      <c r="S723" s="11"/>
      <c r="T723" s="11"/>
      <c r="U723" s="11"/>
      <c r="V723" s="11"/>
      <c r="W723" s="11"/>
      <c r="X723" s="11">
        <v>76</v>
      </c>
      <c r="Y723" s="11"/>
      <c r="Z723" s="11"/>
      <c r="AA723" s="11"/>
      <c r="AB723" s="11"/>
      <c r="AC723" s="11">
        <v>96</v>
      </c>
      <c r="AD723" s="11"/>
      <c r="AE723" s="11"/>
      <c r="AF723" s="11"/>
      <c r="AG723" s="11"/>
      <c r="AH723" s="11"/>
      <c r="AI723" s="11">
        <v>34</v>
      </c>
      <c r="AJ723" s="11"/>
      <c r="AK723" s="11"/>
      <c r="AL723" s="11"/>
      <c r="AM723" s="11"/>
      <c r="AN723" s="11">
        <v>30</v>
      </c>
      <c r="AO723" s="11">
        <v>40</v>
      </c>
      <c r="AP723" s="11">
        <v>60</v>
      </c>
      <c r="AQ723" s="11"/>
      <c r="AR723" s="11"/>
      <c r="AS723" s="11"/>
      <c r="AT723" s="20" t="str">
        <f>HYPERLINK("http://www.openstreetmap.org/?mlat=34.6044&amp;mlon=43.6851&amp;zoom=12#map=12/34.6044/43.6851","Maplink1")</f>
        <v>Maplink1</v>
      </c>
      <c r="AU723" s="20" t="str">
        <f>HYPERLINK("https://www.google.iq/maps/search/+34.6044,43.6851/@34.6044,43.6851,14z?hl=en","Maplink2")</f>
        <v>Maplink2</v>
      </c>
      <c r="AV723" s="20" t="str">
        <f>HYPERLINK("http://www.bing.com/maps/?lvl=14&amp;sty=h&amp;cp=34.6044~43.6851&amp;sp=point.34.6044_43.6851","Maplink3")</f>
        <v>Maplink3</v>
      </c>
    </row>
    <row r="724" spans="1:48" s="19" customFormat="1" x14ac:dyDescent="0.25">
      <c r="A724" s="9">
        <v>20663</v>
      </c>
      <c r="B724" s="10" t="s">
        <v>22</v>
      </c>
      <c r="C724" s="10" t="s">
        <v>1428</v>
      </c>
      <c r="D724" s="10" t="s">
        <v>1503</v>
      </c>
      <c r="E724" s="10" t="s">
        <v>1504</v>
      </c>
      <c r="F724" s="10">
        <v>34.581973419999997</v>
      </c>
      <c r="G724" s="10">
        <v>43.678329920000003</v>
      </c>
      <c r="H724" s="11">
        <v>270</v>
      </c>
      <c r="I724" s="11">
        <v>1620</v>
      </c>
      <c r="J724" s="11"/>
      <c r="K724" s="11"/>
      <c r="L724" s="11">
        <v>7</v>
      </c>
      <c r="M724" s="11"/>
      <c r="N724" s="11"/>
      <c r="O724" s="11"/>
      <c r="P724" s="11">
        <v>52</v>
      </c>
      <c r="Q724" s="11"/>
      <c r="R724" s="11">
        <v>183</v>
      </c>
      <c r="S724" s="11"/>
      <c r="T724" s="11"/>
      <c r="U724" s="11"/>
      <c r="V724" s="11"/>
      <c r="W724" s="11"/>
      <c r="X724" s="11">
        <v>14</v>
      </c>
      <c r="Y724" s="11">
        <v>14</v>
      </c>
      <c r="Z724" s="11"/>
      <c r="AA724" s="11"/>
      <c r="AB724" s="11"/>
      <c r="AC724" s="11">
        <v>236</v>
      </c>
      <c r="AD724" s="11"/>
      <c r="AE724" s="11"/>
      <c r="AF724" s="11"/>
      <c r="AG724" s="11"/>
      <c r="AH724" s="11"/>
      <c r="AI724" s="11">
        <v>34</v>
      </c>
      <c r="AJ724" s="11"/>
      <c r="AK724" s="11"/>
      <c r="AL724" s="11"/>
      <c r="AM724" s="11">
        <v>18</v>
      </c>
      <c r="AN724" s="11">
        <v>202</v>
      </c>
      <c r="AO724" s="11">
        <v>50</v>
      </c>
      <c r="AP724" s="11"/>
      <c r="AQ724" s="11"/>
      <c r="AR724" s="11"/>
      <c r="AS724" s="11"/>
      <c r="AT724" s="20" t="str">
        <f>HYPERLINK("http://www.openstreetmap.org/?mlat=34.582&amp;mlon=43.6783&amp;zoom=12#map=12/34.582/43.6783","Maplink1")</f>
        <v>Maplink1</v>
      </c>
      <c r="AU724" s="20" t="str">
        <f>HYPERLINK("https://www.google.iq/maps/search/+34.582,43.6783/@34.582,43.6783,14z?hl=en","Maplink2")</f>
        <v>Maplink2</v>
      </c>
      <c r="AV724" s="20" t="str">
        <f>HYPERLINK("http://www.bing.com/maps/?lvl=14&amp;sty=h&amp;cp=34.582~43.6783&amp;sp=point.34.582_43.6783","Maplink3")</f>
        <v>Maplink3</v>
      </c>
    </row>
    <row r="725" spans="1:48" s="19" customFormat="1" x14ac:dyDescent="0.25">
      <c r="A725" s="9">
        <v>27367</v>
      </c>
      <c r="B725" s="10" t="s">
        <v>22</v>
      </c>
      <c r="C725" s="10" t="s">
        <v>1428</v>
      </c>
      <c r="D725" s="10" t="s">
        <v>1505</v>
      </c>
      <c r="E725" s="10" t="s">
        <v>1506</v>
      </c>
      <c r="F725" s="10">
        <v>34.584929500000001</v>
      </c>
      <c r="G725" s="10">
        <v>43.682541399999998</v>
      </c>
      <c r="H725" s="11">
        <v>367</v>
      </c>
      <c r="I725" s="11">
        <v>2202</v>
      </c>
      <c r="J725" s="11"/>
      <c r="K725" s="11"/>
      <c r="L725" s="11">
        <v>33</v>
      </c>
      <c r="M725" s="11"/>
      <c r="N725" s="11"/>
      <c r="O725" s="11"/>
      <c r="P725" s="11">
        <v>38</v>
      </c>
      <c r="Q725" s="11"/>
      <c r="R725" s="11">
        <v>85</v>
      </c>
      <c r="S725" s="11"/>
      <c r="T725" s="11"/>
      <c r="U725" s="11"/>
      <c r="V725" s="11"/>
      <c r="W725" s="11"/>
      <c r="X725" s="11">
        <v>211</v>
      </c>
      <c r="Y725" s="11"/>
      <c r="Z725" s="11"/>
      <c r="AA725" s="11"/>
      <c r="AB725" s="11"/>
      <c r="AC725" s="11">
        <v>345</v>
      </c>
      <c r="AD725" s="11"/>
      <c r="AE725" s="11"/>
      <c r="AF725" s="11"/>
      <c r="AG725" s="11"/>
      <c r="AH725" s="11"/>
      <c r="AI725" s="11">
        <v>22</v>
      </c>
      <c r="AJ725" s="11"/>
      <c r="AK725" s="11"/>
      <c r="AL725" s="11"/>
      <c r="AM725" s="11"/>
      <c r="AN725" s="11">
        <v>152</v>
      </c>
      <c r="AO725" s="11">
        <v>110</v>
      </c>
      <c r="AP725" s="11">
        <v>105</v>
      </c>
      <c r="AQ725" s="11"/>
      <c r="AR725" s="11"/>
      <c r="AS725" s="11"/>
      <c r="AT725" s="20" t="str">
        <f>HYPERLINK("http://www.openstreetmap.org/?mlat=34.5849&amp;mlon=43.6825&amp;zoom=12#map=12/34.5849/43.6825","Maplink1")</f>
        <v>Maplink1</v>
      </c>
      <c r="AU725" s="20" t="str">
        <f>HYPERLINK("https://www.google.iq/maps/search/+34.5849,43.6825/@34.5849,43.6825,14z?hl=en","Maplink2")</f>
        <v>Maplink2</v>
      </c>
      <c r="AV725" s="20" t="str">
        <f>HYPERLINK("http://www.bing.com/maps/?lvl=14&amp;sty=h&amp;cp=34.5849~43.6825&amp;sp=point.34.5849_43.6825","Maplink3")</f>
        <v>Maplink3</v>
      </c>
    </row>
    <row r="726" spans="1:48" s="19" customFormat="1" x14ac:dyDescent="0.25">
      <c r="A726" s="9">
        <v>20624</v>
      </c>
      <c r="B726" s="10" t="s">
        <v>22</v>
      </c>
      <c r="C726" s="10" t="s">
        <v>1428</v>
      </c>
      <c r="D726" s="10" t="s">
        <v>1507</v>
      </c>
      <c r="E726" s="10" t="s">
        <v>1508</v>
      </c>
      <c r="F726" s="10">
        <v>34.582677920000002</v>
      </c>
      <c r="G726" s="10">
        <v>43.68829058</v>
      </c>
      <c r="H726" s="11">
        <v>415</v>
      </c>
      <c r="I726" s="11">
        <v>2490</v>
      </c>
      <c r="J726" s="11"/>
      <c r="K726" s="11"/>
      <c r="L726" s="11">
        <v>154</v>
      </c>
      <c r="M726" s="11"/>
      <c r="N726" s="11"/>
      <c r="O726" s="11"/>
      <c r="P726" s="11">
        <v>103</v>
      </c>
      <c r="Q726" s="11"/>
      <c r="R726" s="11">
        <v>94</v>
      </c>
      <c r="S726" s="11"/>
      <c r="T726" s="11"/>
      <c r="U726" s="11"/>
      <c r="V726" s="11"/>
      <c r="W726" s="11"/>
      <c r="X726" s="11">
        <v>39</v>
      </c>
      <c r="Y726" s="11">
        <v>25</v>
      </c>
      <c r="Z726" s="11"/>
      <c r="AA726" s="11"/>
      <c r="AB726" s="11"/>
      <c r="AC726" s="11">
        <v>335</v>
      </c>
      <c r="AD726" s="11"/>
      <c r="AE726" s="11"/>
      <c r="AF726" s="11"/>
      <c r="AG726" s="11"/>
      <c r="AH726" s="11"/>
      <c r="AI726" s="11">
        <v>80</v>
      </c>
      <c r="AJ726" s="11"/>
      <c r="AK726" s="11"/>
      <c r="AL726" s="11"/>
      <c r="AM726" s="11"/>
      <c r="AN726" s="11">
        <v>389</v>
      </c>
      <c r="AO726" s="11">
        <v>26</v>
      </c>
      <c r="AP726" s="11"/>
      <c r="AQ726" s="11"/>
      <c r="AR726" s="11"/>
      <c r="AS726" s="11"/>
      <c r="AT726" s="20" t="str">
        <f>HYPERLINK("http://www.openstreetmap.org/?mlat=34.5827&amp;mlon=43.6883&amp;zoom=12#map=12/34.5827/43.6883","Maplink1")</f>
        <v>Maplink1</v>
      </c>
      <c r="AU726" s="20" t="str">
        <f>HYPERLINK("https://www.google.iq/maps/search/+34.5827,43.6883/@34.5827,43.6883,14z?hl=en","Maplink2")</f>
        <v>Maplink2</v>
      </c>
      <c r="AV726" s="20" t="str">
        <f>HYPERLINK("http://www.bing.com/maps/?lvl=14&amp;sty=h&amp;cp=34.5827~43.6883&amp;sp=point.34.5827_43.6883","Maplink3")</f>
        <v>Maplink3</v>
      </c>
    </row>
    <row r="727" spans="1:48" s="19" customFormat="1" x14ac:dyDescent="0.25">
      <c r="A727" s="9">
        <v>25962</v>
      </c>
      <c r="B727" s="10" t="s">
        <v>22</v>
      </c>
      <c r="C727" s="10" t="s">
        <v>1428</v>
      </c>
      <c r="D727" s="10" t="s">
        <v>1509</v>
      </c>
      <c r="E727" s="10" t="s">
        <v>1510</v>
      </c>
      <c r="F727" s="10">
        <v>34.612176759999997</v>
      </c>
      <c r="G727" s="10">
        <v>43.680861129999997</v>
      </c>
      <c r="H727" s="11">
        <v>727</v>
      </c>
      <c r="I727" s="11">
        <v>4362</v>
      </c>
      <c r="J727" s="11"/>
      <c r="K727" s="11"/>
      <c r="L727" s="11">
        <v>23</v>
      </c>
      <c r="M727" s="11"/>
      <c r="N727" s="11">
        <v>6</v>
      </c>
      <c r="O727" s="11"/>
      <c r="P727" s="11">
        <v>285</v>
      </c>
      <c r="Q727" s="11"/>
      <c r="R727" s="11">
        <v>251</v>
      </c>
      <c r="S727" s="11"/>
      <c r="T727" s="11"/>
      <c r="U727" s="11"/>
      <c r="V727" s="11">
        <v>2</v>
      </c>
      <c r="W727" s="11"/>
      <c r="X727" s="11">
        <v>134</v>
      </c>
      <c r="Y727" s="11">
        <v>26</v>
      </c>
      <c r="Z727" s="11"/>
      <c r="AA727" s="11"/>
      <c r="AB727" s="11"/>
      <c r="AC727" s="11">
        <v>693</v>
      </c>
      <c r="AD727" s="11"/>
      <c r="AE727" s="11"/>
      <c r="AF727" s="11"/>
      <c r="AG727" s="11"/>
      <c r="AH727" s="11"/>
      <c r="AI727" s="11">
        <v>34</v>
      </c>
      <c r="AJ727" s="11"/>
      <c r="AK727" s="11"/>
      <c r="AL727" s="11"/>
      <c r="AM727" s="11"/>
      <c r="AN727" s="11">
        <v>400</v>
      </c>
      <c r="AO727" s="11">
        <v>100</v>
      </c>
      <c r="AP727" s="11">
        <v>227</v>
      </c>
      <c r="AQ727" s="11"/>
      <c r="AR727" s="11"/>
      <c r="AS727" s="11"/>
      <c r="AT727" s="20" t="str">
        <f>HYPERLINK("http://www.openstreetmap.org/?mlat=34.6122&amp;mlon=43.6809&amp;zoom=12#map=12/34.6122/43.6809","Maplink1")</f>
        <v>Maplink1</v>
      </c>
      <c r="AU727" s="20" t="str">
        <f>HYPERLINK("https://www.google.iq/maps/search/+34.6122,43.6809/@34.6122,43.6809,14z?hl=en","Maplink2")</f>
        <v>Maplink2</v>
      </c>
      <c r="AV727" s="20" t="str">
        <f>HYPERLINK("http://www.bing.com/maps/?lvl=14&amp;sty=h&amp;cp=34.6122~43.6809&amp;sp=point.34.6122_43.6809","Maplink3")</f>
        <v>Maplink3</v>
      </c>
    </row>
    <row r="728" spans="1:48" s="19" customFormat="1" x14ac:dyDescent="0.25">
      <c r="A728" s="9">
        <v>22966</v>
      </c>
      <c r="B728" s="10" t="s">
        <v>22</v>
      </c>
      <c r="C728" s="10" t="s">
        <v>1428</v>
      </c>
      <c r="D728" s="10" t="s">
        <v>1511</v>
      </c>
      <c r="E728" s="10" t="s">
        <v>1512</v>
      </c>
      <c r="F728" s="10">
        <v>34.588332110000003</v>
      </c>
      <c r="G728" s="10">
        <v>43.681835020000001</v>
      </c>
      <c r="H728" s="11">
        <v>150</v>
      </c>
      <c r="I728" s="11">
        <v>900</v>
      </c>
      <c r="J728" s="11"/>
      <c r="K728" s="11"/>
      <c r="L728" s="11"/>
      <c r="M728" s="11"/>
      <c r="N728" s="11"/>
      <c r="O728" s="11"/>
      <c r="P728" s="11"/>
      <c r="Q728" s="11"/>
      <c r="R728" s="11">
        <v>2</v>
      </c>
      <c r="S728" s="11"/>
      <c r="T728" s="11"/>
      <c r="U728" s="11"/>
      <c r="V728" s="11"/>
      <c r="W728" s="11"/>
      <c r="X728" s="11">
        <v>148</v>
      </c>
      <c r="Y728" s="11"/>
      <c r="Z728" s="11"/>
      <c r="AA728" s="11"/>
      <c r="AB728" s="11"/>
      <c r="AC728" s="11">
        <v>150</v>
      </c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>
        <v>71</v>
      </c>
      <c r="AO728" s="11">
        <v>50</v>
      </c>
      <c r="AP728" s="11">
        <v>29</v>
      </c>
      <c r="AQ728" s="11"/>
      <c r="AR728" s="11"/>
      <c r="AS728" s="11"/>
      <c r="AT728" s="20" t="str">
        <f>HYPERLINK("http://www.openstreetmap.org/?mlat=34.5883&amp;mlon=43.6818&amp;zoom=12#map=12/34.5883/43.6818","Maplink1")</f>
        <v>Maplink1</v>
      </c>
      <c r="AU728" s="20" t="str">
        <f>HYPERLINK("https://www.google.iq/maps/search/+34.5883,43.6818/@34.5883,43.6818,14z?hl=en","Maplink2")</f>
        <v>Maplink2</v>
      </c>
      <c r="AV728" s="20" t="str">
        <f>HYPERLINK("http://www.bing.com/maps/?lvl=14&amp;sty=h&amp;cp=34.5883~43.6818&amp;sp=point.34.5883_43.6818","Maplink3")</f>
        <v>Maplink3</v>
      </c>
    </row>
    <row r="729" spans="1:48" s="19" customFormat="1" x14ac:dyDescent="0.25">
      <c r="A729" s="9">
        <v>28449</v>
      </c>
      <c r="B729" s="10" t="s">
        <v>22</v>
      </c>
      <c r="C729" s="10" t="s">
        <v>1428</v>
      </c>
      <c r="D729" s="10" t="s">
        <v>1513</v>
      </c>
      <c r="E729" s="10" t="s">
        <v>1514</v>
      </c>
      <c r="F729" s="10">
        <v>34.699296169999997</v>
      </c>
      <c r="G729" s="10">
        <v>43.709547559999997</v>
      </c>
      <c r="H729" s="11">
        <v>575</v>
      </c>
      <c r="I729" s="11">
        <v>3450</v>
      </c>
      <c r="J729" s="11"/>
      <c r="K729" s="11"/>
      <c r="L729" s="11"/>
      <c r="M729" s="11"/>
      <c r="N729" s="11"/>
      <c r="O729" s="11"/>
      <c r="P729" s="11"/>
      <c r="Q729" s="11"/>
      <c r="R729" s="11">
        <v>575</v>
      </c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>
        <v>500</v>
      </c>
      <c r="AD729" s="11">
        <v>25</v>
      </c>
      <c r="AE729" s="11"/>
      <c r="AF729" s="11"/>
      <c r="AG729" s="11"/>
      <c r="AH729" s="11"/>
      <c r="AI729" s="11">
        <v>50</v>
      </c>
      <c r="AJ729" s="11"/>
      <c r="AK729" s="11"/>
      <c r="AL729" s="11"/>
      <c r="AM729" s="11"/>
      <c r="AN729" s="11">
        <v>275</v>
      </c>
      <c r="AO729" s="11">
        <v>300</v>
      </c>
      <c r="AP729" s="11"/>
      <c r="AQ729" s="11"/>
      <c r="AR729" s="11"/>
      <c r="AS729" s="11"/>
      <c r="AT729" s="20" t="str">
        <f>HYPERLINK("http://www.openstreetmap.org/?mlat=34.6993&amp;mlon=43.7095&amp;zoom=12#map=12/34.6993/43.7095","Maplink1")</f>
        <v>Maplink1</v>
      </c>
      <c r="AU729" s="20" t="str">
        <f>HYPERLINK("https://www.google.iq/maps/search/+34.6993,43.7095/@34.6993,43.7095,14z?hl=en","Maplink2")</f>
        <v>Maplink2</v>
      </c>
      <c r="AV729" s="20" t="str">
        <f>HYPERLINK("http://www.bing.com/maps/?lvl=14&amp;sty=h&amp;cp=34.6993~43.7095&amp;sp=point.34.6993_43.7095","Maplink3")</f>
        <v>Maplink3</v>
      </c>
    </row>
    <row r="730" spans="1:48" s="19" customFormat="1" x14ac:dyDescent="0.25">
      <c r="A730" s="9">
        <v>22470</v>
      </c>
      <c r="B730" s="10" t="s">
        <v>22</v>
      </c>
      <c r="C730" s="10" t="s">
        <v>1428</v>
      </c>
      <c r="D730" s="10" t="s">
        <v>1515</v>
      </c>
      <c r="E730" s="10" t="s">
        <v>1516</v>
      </c>
      <c r="F730" s="10">
        <v>34.688249999999996</v>
      </c>
      <c r="G730" s="10">
        <v>43.712161100000003</v>
      </c>
      <c r="H730" s="11">
        <v>687</v>
      </c>
      <c r="I730" s="11">
        <v>4122</v>
      </c>
      <c r="J730" s="11"/>
      <c r="K730" s="11"/>
      <c r="L730" s="11">
        <v>250</v>
      </c>
      <c r="M730" s="11"/>
      <c r="N730" s="11"/>
      <c r="O730" s="11"/>
      <c r="P730" s="11"/>
      <c r="Q730" s="11"/>
      <c r="R730" s="11">
        <v>200</v>
      </c>
      <c r="S730" s="11"/>
      <c r="T730" s="11"/>
      <c r="U730" s="11"/>
      <c r="V730" s="11"/>
      <c r="W730" s="11"/>
      <c r="X730" s="11">
        <v>237</v>
      </c>
      <c r="Y730" s="11"/>
      <c r="Z730" s="11"/>
      <c r="AA730" s="11"/>
      <c r="AB730" s="11"/>
      <c r="AC730" s="11">
        <v>425</v>
      </c>
      <c r="AD730" s="11">
        <v>12</v>
      </c>
      <c r="AE730" s="11"/>
      <c r="AF730" s="11"/>
      <c r="AG730" s="11"/>
      <c r="AH730" s="11"/>
      <c r="AI730" s="11">
        <v>250</v>
      </c>
      <c r="AJ730" s="11"/>
      <c r="AK730" s="11"/>
      <c r="AL730" s="11"/>
      <c r="AM730" s="11"/>
      <c r="AN730" s="11">
        <v>460</v>
      </c>
      <c r="AO730" s="11">
        <v>227</v>
      </c>
      <c r="AP730" s="11"/>
      <c r="AQ730" s="11"/>
      <c r="AR730" s="11"/>
      <c r="AS730" s="11"/>
      <c r="AT730" s="20" t="str">
        <f>HYPERLINK("http://www.openstreetmap.org/?mlat=34.6882&amp;mlon=43.7122&amp;zoom=12#map=12/34.6882/43.7122","Maplink1")</f>
        <v>Maplink1</v>
      </c>
      <c r="AU730" s="20" t="str">
        <f>HYPERLINK("https://www.google.iq/maps/search/+34.6882,43.7122/@34.6882,43.7122,14z?hl=en","Maplink2")</f>
        <v>Maplink2</v>
      </c>
      <c r="AV730" s="20" t="str">
        <f>HYPERLINK("http://www.bing.com/maps/?lvl=14&amp;sty=h&amp;cp=34.6882~43.7122&amp;sp=point.34.6882_43.7122","Maplink3")</f>
        <v>Maplink3</v>
      </c>
    </row>
    <row r="731" spans="1:48" s="19" customFormat="1" x14ac:dyDescent="0.25">
      <c r="A731" s="9">
        <v>22059</v>
      </c>
      <c r="B731" s="10" t="s">
        <v>22</v>
      </c>
      <c r="C731" s="10" t="s">
        <v>1428</v>
      </c>
      <c r="D731" s="10" t="s">
        <v>1517</v>
      </c>
      <c r="E731" s="10" t="s">
        <v>1518</v>
      </c>
      <c r="F731" s="10">
        <v>34.792707622999998</v>
      </c>
      <c r="G731" s="10">
        <v>43.611043542600001</v>
      </c>
      <c r="H731" s="11">
        <v>410</v>
      </c>
      <c r="I731" s="11">
        <v>2460</v>
      </c>
      <c r="J731" s="11"/>
      <c r="K731" s="11"/>
      <c r="L731" s="11"/>
      <c r="M731" s="11"/>
      <c r="N731" s="11"/>
      <c r="O731" s="11"/>
      <c r="P731" s="11"/>
      <c r="Q731" s="11"/>
      <c r="R731" s="11">
        <v>410</v>
      </c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>
        <v>410</v>
      </c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>
        <v>410</v>
      </c>
      <c r="AQ731" s="11"/>
      <c r="AR731" s="11"/>
      <c r="AS731" s="11"/>
      <c r="AT731" s="20" t="str">
        <f>HYPERLINK("http://www.openstreetmap.org/?mlat=34.7927&amp;mlon=43.611&amp;zoom=12#map=12/34.7927/43.611","Maplink1")</f>
        <v>Maplink1</v>
      </c>
      <c r="AU731" s="20" t="str">
        <f>HYPERLINK("https://www.google.iq/maps/search/+34.7927,43.611/@34.7927,43.611,14z?hl=en","Maplink2")</f>
        <v>Maplink2</v>
      </c>
      <c r="AV731" s="20" t="str">
        <f>HYPERLINK("http://www.bing.com/maps/?lvl=14&amp;sty=h&amp;cp=34.7927~43.611&amp;sp=point.34.7927_43.611","Maplink3")</f>
        <v>Maplink3</v>
      </c>
    </row>
    <row r="732" spans="1:48" s="19" customFormat="1" x14ac:dyDescent="0.25">
      <c r="A732" s="9">
        <v>25922</v>
      </c>
      <c r="B732" s="10" t="s">
        <v>22</v>
      </c>
      <c r="C732" s="10" t="s">
        <v>1428</v>
      </c>
      <c r="D732" s="10" t="s">
        <v>1519</v>
      </c>
      <c r="E732" s="10" t="s">
        <v>1520</v>
      </c>
      <c r="F732" s="10">
        <v>34.6276997517</v>
      </c>
      <c r="G732" s="10">
        <v>43.669932652100002</v>
      </c>
      <c r="H732" s="11">
        <v>2152</v>
      </c>
      <c r="I732" s="11">
        <v>12912</v>
      </c>
      <c r="J732" s="11"/>
      <c r="K732" s="11"/>
      <c r="L732" s="11">
        <v>44</v>
      </c>
      <c r="M732" s="11"/>
      <c r="N732" s="11">
        <v>22</v>
      </c>
      <c r="O732" s="11"/>
      <c r="P732" s="11">
        <v>800</v>
      </c>
      <c r="Q732" s="11"/>
      <c r="R732" s="11">
        <v>1017</v>
      </c>
      <c r="S732" s="11"/>
      <c r="T732" s="11"/>
      <c r="U732" s="11"/>
      <c r="V732" s="11">
        <v>3</v>
      </c>
      <c r="W732" s="11"/>
      <c r="X732" s="11">
        <v>149</v>
      </c>
      <c r="Y732" s="11">
        <v>117</v>
      </c>
      <c r="Z732" s="11"/>
      <c r="AA732" s="11"/>
      <c r="AB732" s="11"/>
      <c r="AC732" s="11">
        <v>1905</v>
      </c>
      <c r="AD732" s="11"/>
      <c r="AE732" s="11"/>
      <c r="AF732" s="11"/>
      <c r="AG732" s="11"/>
      <c r="AH732" s="11"/>
      <c r="AI732" s="11">
        <v>247</v>
      </c>
      <c r="AJ732" s="11"/>
      <c r="AK732" s="11"/>
      <c r="AL732" s="11"/>
      <c r="AM732" s="11"/>
      <c r="AN732" s="11">
        <v>1022</v>
      </c>
      <c r="AO732" s="11">
        <v>600</v>
      </c>
      <c r="AP732" s="11">
        <v>530</v>
      </c>
      <c r="AQ732" s="11"/>
      <c r="AR732" s="11"/>
      <c r="AS732" s="11"/>
      <c r="AT732" s="20" t="str">
        <f>HYPERLINK("http://www.openstreetmap.org/?mlat=34.6277&amp;mlon=43.6699&amp;zoom=12#map=12/34.6277/43.6699","Maplink1")</f>
        <v>Maplink1</v>
      </c>
      <c r="AU732" s="20" t="str">
        <f>HYPERLINK("https://www.google.iq/maps/search/+34.6277,43.6699/@34.6277,43.6699,14z?hl=en","Maplink2")</f>
        <v>Maplink2</v>
      </c>
      <c r="AV732" s="20" t="str">
        <f>HYPERLINK("http://www.bing.com/maps/?lvl=14&amp;sty=h&amp;cp=34.6277~43.6699&amp;sp=point.34.6277_43.6699","Maplink3")</f>
        <v>Maplink3</v>
      </c>
    </row>
    <row r="733" spans="1:48" s="19" customFormat="1" x14ac:dyDescent="0.25">
      <c r="A733" s="9">
        <v>25923</v>
      </c>
      <c r="B733" s="10" t="s">
        <v>22</v>
      </c>
      <c r="C733" s="10" t="s">
        <v>1428</v>
      </c>
      <c r="D733" s="10" t="s">
        <v>1521</v>
      </c>
      <c r="E733" s="10" t="s">
        <v>1522</v>
      </c>
      <c r="F733" s="10">
        <v>34.649075195899997</v>
      </c>
      <c r="G733" s="10">
        <v>43.654316440000002</v>
      </c>
      <c r="H733" s="11">
        <v>2268</v>
      </c>
      <c r="I733" s="11">
        <v>13608</v>
      </c>
      <c r="J733" s="11"/>
      <c r="K733" s="11"/>
      <c r="L733" s="11">
        <v>151</v>
      </c>
      <c r="M733" s="11"/>
      <c r="N733" s="11">
        <v>100</v>
      </c>
      <c r="O733" s="11"/>
      <c r="P733" s="11">
        <v>503</v>
      </c>
      <c r="Q733" s="11"/>
      <c r="R733" s="11">
        <v>1006</v>
      </c>
      <c r="S733" s="11"/>
      <c r="T733" s="11"/>
      <c r="U733" s="11"/>
      <c r="V733" s="11">
        <v>1</v>
      </c>
      <c r="W733" s="11"/>
      <c r="X733" s="11">
        <v>207</v>
      </c>
      <c r="Y733" s="11">
        <v>300</v>
      </c>
      <c r="Z733" s="11"/>
      <c r="AA733" s="11"/>
      <c r="AB733" s="11"/>
      <c r="AC733" s="11">
        <v>1948</v>
      </c>
      <c r="AD733" s="11"/>
      <c r="AE733" s="11"/>
      <c r="AF733" s="11"/>
      <c r="AG733" s="11"/>
      <c r="AH733" s="11"/>
      <c r="AI733" s="11">
        <v>320</v>
      </c>
      <c r="AJ733" s="11"/>
      <c r="AK733" s="11"/>
      <c r="AL733" s="11"/>
      <c r="AM733" s="11"/>
      <c r="AN733" s="11">
        <v>1000</v>
      </c>
      <c r="AO733" s="11">
        <v>600</v>
      </c>
      <c r="AP733" s="11">
        <v>668</v>
      </c>
      <c r="AQ733" s="11"/>
      <c r="AR733" s="11"/>
      <c r="AS733" s="11"/>
      <c r="AT733" s="20" t="str">
        <f>HYPERLINK("http://www.openstreetmap.org/?mlat=34.6491&amp;mlon=43.6543&amp;zoom=12#map=12/34.6491/43.6543","Maplink1")</f>
        <v>Maplink1</v>
      </c>
      <c r="AU733" s="20" t="str">
        <f>HYPERLINK("https://www.google.iq/maps/search/+34.6491,43.6543/@34.6491,43.6543,14z?hl=en","Maplink2")</f>
        <v>Maplink2</v>
      </c>
      <c r="AV733" s="20" t="str">
        <f>HYPERLINK("http://www.bing.com/maps/?lvl=14&amp;sty=h&amp;cp=34.6491~43.6543&amp;sp=point.34.6491_43.6543","Maplink3")</f>
        <v>Maplink3</v>
      </c>
    </row>
    <row r="734" spans="1:48" s="19" customFormat="1" x14ac:dyDescent="0.25">
      <c r="A734" s="9">
        <v>22180</v>
      </c>
      <c r="B734" s="10" t="s">
        <v>22</v>
      </c>
      <c r="C734" s="10" t="s">
        <v>1428</v>
      </c>
      <c r="D734" s="10" t="s">
        <v>1523</v>
      </c>
      <c r="E734" s="10" t="s">
        <v>1524</v>
      </c>
      <c r="F734" s="10">
        <v>34.602524838400001</v>
      </c>
      <c r="G734" s="10">
        <v>43.722559316100003</v>
      </c>
      <c r="H734" s="11">
        <v>1481</v>
      </c>
      <c r="I734" s="11">
        <v>8886</v>
      </c>
      <c r="J734" s="11"/>
      <c r="K734" s="11"/>
      <c r="L734" s="11">
        <v>4</v>
      </c>
      <c r="M734" s="11"/>
      <c r="N734" s="11"/>
      <c r="O734" s="11"/>
      <c r="P734" s="11">
        <v>307</v>
      </c>
      <c r="Q734" s="11"/>
      <c r="R734" s="11">
        <v>1152</v>
      </c>
      <c r="S734" s="11"/>
      <c r="T734" s="11"/>
      <c r="U734" s="11"/>
      <c r="V734" s="11"/>
      <c r="W734" s="11"/>
      <c r="X734" s="11">
        <v>10</v>
      </c>
      <c r="Y734" s="11">
        <v>8</v>
      </c>
      <c r="Z734" s="11"/>
      <c r="AA734" s="11"/>
      <c r="AB734" s="11"/>
      <c r="AC734" s="11">
        <v>181</v>
      </c>
      <c r="AD734" s="11">
        <v>300</v>
      </c>
      <c r="AE734" s="11"/>
      <c r="AF734" s="11">
        <v>300</v>
      </c>
      <c r="AG734" s="11">
        <v>400</v>
      </c>
      <c r="AH734" s="11"/>
      <c r="AI734" s="11"/>
      <c r="AJ734" s="11"/>
      <c r="AK734" s="11">
        <v>300</v>
      </c>
      <c r="AL734" s="11"/>
      <c r="AM734" s="11"/>
      <c r="AN734" s="11">
        <v>136</v>
      </c>
      <c r="AO734" s="11">
        <v>162</v>
      </c>
      <c r="AP734" s="11">
        <v>1183</v>
      </c>
      <c r="AQ734" s="11"/>
      <c r="AR734" s="11"/>
      <c r="AS734" s="11"/>
      <c r="AT734" s="20" t="str">
        <f>HYPERLINK("http://www.openstreetmap.org/?mlat=34.6025&amp;mlon=43.7226&amp;zoom=12#map=12/34.6025/43.7226","Maplink1")</f>
        <v>Maplink1</v>
      </c>
      <c r="AU734" s="20" t="str">
        <f>HYPERLINK("https://www.google.iq/maps/search/+34.6025,43.7226/@34.6025,43.7226,14z?hl=en","Maplink2")</f>
        <v>Maplink2</v>
      </c>
      <c r="AV734" s="20" t="str">
        <f>HYPERLINK("http://www.bing.com/maps/?lvl=14&amp;sty=h&amp;cp=34.6025~43.7226&amp;sp=point.34.6025_43.7226","Maplink3")</f>
        <v>Maplink3</v>
      </c>
    </row>
    <row r="735" spans="1:48" s="19" customFormat="1" x14ac:dyDescent="0.25">
      <c r="A735" s="9">
        <v>20612</v>
      </c>
      <c r="B735" s="10" t="s">
        <v>22</v>
      </c>
      <c r="C735" s="10" t="s">
        <v>1428</v>
      </c>
      <c r="D735" s="10" t="s">
        <v>1525</v>
      </c>
      <c r="E735" s="10" t="s">
        <v>1526</v>
      </c>
      <c r="F735" s="10">
        <v>34.748233705799997</v>
      </c>
      <c r="G735" s="10">
        <v>43.668342400299998</v>
      </c>
      <c r="H735" s="11">
        <v>110</v>
      </c>
      <c r="I735" s="11">
        <v>660</v>
      </c>
      <c r="J735" s="11"/>
      <c r="K735" s="11"/>
      <c r="L735" s="11"/>
      <c r="M735" s="11"/>
      <c r="N735" s="11"/>
      <c r="O735" s="11"/>
      <c r="P735" s="11"/>
      <c r="Q735" s="11"/>
      <c r="R735" s="11">
        <v>110</v>
      </c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>
        <v>106</v>
      </c>
      <c r="AD735" s="11">
        <v>4</v>
      </c>
      <c r="AE735" s="11"/>
      <c r="AF735" s="11"/>
      <c r="AG735" s="11"/>
      <c r="AH735" s="11"/>
      <c r="AI735" s="11"/>
      <c r="AJ735" s="11"/>
      <c r="AK735" s="11"/>
      <c r="AL735" s="11"/>
      <c r="AM735" s="11"/>
      <c r="AN735" s="11">
        <v>10</v>
      </c>
      <c r="AO735" s="11"/>
      <c r="AP735" s="11">
        <v>100</v>
      </c>
      <c r="AQ735" s="11"/>
      <c r="AR735" s="11"/>
      <c r="AS735" s="11"/>
      <c r="AT735" s="20" t="str">
        <f>HYPERLINK("http://www.openstreetmap.org/?mlat=34.7482&amp;mlon=43.6683&amp;zoom=12#map=12/34.7482/43.6683","Maplink1")</f>
        <v>Maplink1</v>
      </c>
      <c r="AU735" s="20" t="str">
        <f>HYPERLINK("https://www.google.iq/maps/search/+34.7482,43.6683/@34.7482,43.6683,14z?hl=en","Maplink2")</f>
        <v>Maplink2</v>
      </c>
      <c r="AV735" s="20" t="str">
        <f>HYPERLINK("http://www.bing.com/maps/?lvl=14&amp;sty=h&amp;cp=34.7482~43.6683&amp;sp=point.34.7482_43.6683","Maplink3")</f>
        <v>Maplink3</v>
      </c>
    </row>
    <row r="736" spans="1:48" s="19" customFormat="1" x14ac:dyDescent="0.25">
      <c r="A736" s="9">
        <v>25950</v>
      </c>
      <c r="B736" s="10" t="s">
        <v>22</v>
      </c>
      <c r="C736" s="10" t="s">
        <v>1428</v>
      </c>
      <c r="D736" s="10" t="s">
        <v>1527</v>
      </c>
      <c r="E736" s="10" t="s">
        <v>1528</v>
      </c>
      <c r="F736" s="10">
        <v>34.82091767</v>
      </c>
      <c r="G736" s="10">
        <v>43.578059060000001</v>
      </c>
      <c r="H736" s="11">
        <v>530</v>
      </c>
      <c r="I736" s="11">
        <v>3180</v>
      </c>
      <c r="J736" s="11"/>
      <c r="K736" s="11"/>
      <c r="L736" s="11"/>
      <c r="M736" s="11"/>
      <c r="N736" s="11"/>
      <c r="O736" s="11"/>
      <c r="P736" s="11"/>
      <c r="Q736" s="11"/>
      <c r="R736" s="11">
        <v>265</v>
      </c>
      <c r="S736" s="11"/>
      <c r="T736" s="11"/>
      <c r="U736" s="11"/>
      <c r="V736" s="11"/>
      <c r="W736" s="11"/>
      <c r="X736" s="11">
        <v>265</v>
      </c>
      <c r="Y736" s="11"/>
      <c r="Z736" s="11"/>
      <c r="AA736" s="11"/>
      <c r="AB736" s="11"/>
      <c r="AC736" s="11">
        <v>500</v>
      </c>
      <c r="AD736" s="11"/>
      <c r="AE736" s="11"/>
      <c r="AF736" s="11">
        <v>30</v>
      </c>
      <c r="AG736" s="11"/>
      <c r="AH736" s="11"/>
      <c r="AI736" s="11"/>
      <c r="AJ736" s="11"/>
      <c r="AK736" s="11"/>
      <c r="AL736" s="11"/>
      <c r="AM736" s="11"/>
      <c r="AN736" s="11">
        <v>100</v>
      </c>
      <c r="AO736" s="11">
        <v>200</v>
      </c>
      <c r="AP736" s="11">
        <v>230</v>
      </c>
      <c r="AQ736" s="11"/>
      <c r="AR736" s="11"/>
      <c r="AS736" s="11"/>
      <c r="AT736" s="20" t="str">
        <f>HYPERLINK("http://www.openstreetmap.org/?mlat=34.8209&amp;mlon=43.5781&amp;zoom=12#map=12/34.8209/43.5781","Maplink1")</f>
        <v>Maplink1</v>
      </c>
      <c r="AU736" s="20" t="str">
        <f>HYPERLINK("https://www.google.iq/maps/search/+34.8209,43.5781/@34.8209,43.5781,14z?hl=en","Maplink2")</f>
        <v>Maplink2</v>
      </c>
      <c r="AV736" s="20" t="str">
        <f>HYPERLINK("http://www.bing.com/maps/?lvl=14&amp;sty=h&amp;cp=34.8209~43.5781&amp;sp=point.34.8209_43.5781","Maplink3")</f>
        <v>Maplink3</v>
      </c>
    </row>
    <row r="737" spans="1:48" s="19" customFormat="1" x14ac:dyDescent="0.25">
      <c r="A737" s="9">
        <v>20666</v>
      </c>
      <c r="B737" s="10" t="s">
        <v>22</v>
      </c>
      <c r="C737" s="10" t="s">
        <v>1428</v>
      </c>
      <c r="D737" s="10" t="s">
        <v>1529</v>
      </c>
      <c r="E737" s="10" t="s">
        <v>1530</v>
      </c>
      <c r="F737" s="10">
        <v>34.472761230000003</v>
      </c>
      <c r="G737" s="10">
        <v>43.734200289999997</v>
      </c>
      <c r="H737" s="11">
        <v>615</v>
      </c>
      <c r="I737" s="11">
        <v>3690</v>
      </c>
      <c r="J737" s="11"/>
      <c r="K737" s="11"/>
      <c r="L737" s="11">
        <v>13</v>
      </c>
      <c r="M737" s="11"/>
      <c r="N737" s="11"/>
      <c r="O737" s="11"/>
      <c r="P737" s="11">
        <v>96</v>
      </c>
      <c r="Q737" s="11"/>
      <c r="R737" s="11">
        <v>326</v>
      </c>
      <c r="S737" s="11"/>
      <c r="T737" s="11"/>
      <c r="U737" s="11"/>
      <c r="V737" s="11"/>
      <c r="W737" s="11"/>
      <c r="X737" s="11">
        <v>108</v>
      </c>
      <c r="Y737" s="11">
        <v>72</v>
      </c>
      <c r="Z737" s="11"/>
      <c r="AA737" s="11"/>
      <c r="AB737" s="11"/>
      <c r="AC737" s="11">
        <v>530</v>
      </c>
      <c r="AD737" s="11"/>
      <c r="AE737" s="11"/>
      <c r="AF737" s="11"/>
      <c r="AG737" s="11"/>
      <c r="AH737" s="11"/>
      <c r="AI737" s="11">
        <v>85</v>
      </c>
      <c r="AJ737" s="11"/>
      <c r="AK737" s="11"/>
      <c r="AL737" s="11"/>
      <c r="AM737" s="11"/>
      <c r="AN737" s="11">
        <v>576</v>
      </c>
      <c r="AO737" s="11">
        <v>39</v>
      </c>
      <c r="AP737" s="11"/>
      <c r="AQ737" s="11"/>
      <c r="AR737" s="11"/>
      <c r="AS737" s="11"/>
      <c r="AT737" s="20" t="str">
        <f>HYPERLINK("http://www.openstreetmap.org/?mlat=34.4728&amp;mlon=43.7342&amp;zoom=12#map=12/34.4728/43.7342","Maplink1")</f>
        <v>Maplink1</v>
      </c>
      <c r="AU737" s="20" t="str">
        <f>HYPERLINK("https://www.google.iq/maps/search/+34.4728,43.7342/@34.4728,43.7342,14z?hl=en","Maplink2")</f>
        <v>Maplink2</v>
      </c>
      <c r="AV737" s="20" t="str">
        <f>HYPERLINK("http://www.bing.com/maps/?lvl=14&amp;sty=h&amp;cp=34.4728~43.7342&amp;sp=point.34.4728_43.7342","Maplink3")</f>
        <v>Maplink3</v>
      </c>
    </row>
    <row r="738" spans="1:48" s="19" customFormat="1" x14ac:dyDescent="0.25">
      <c r="A738" s="9">
        <v>20425</v>
      </c>
      <c r="B738" s="10" t="s">
        <v>22</v>
      </c>
      <c r="C738" s="10" t="s">
        <v>1531</v>
      </c>
      <c r="D738" s="10" t="s">
        <v>1532</v>
      </c>
      <c r="E738" s="10" t="s">
        <v>1533</v>
      </c>
      <c r="F738" s="10">
        <v>34.796410000000002</v>
      </c>
      <c r="G738" s="10">
        <v>44.584961999999997</v>
      </c>
      <c r="H738" s="11">
        <v>351</v>
      </c>
      <c r="I738" s="11">
        <v>2106</v>
      </c>
      <c r="J738" s="11"/>
      <c r="K738" s="11"/>
      <c r="L738" s="11">
        <v>21</v>
      </c>
      <c r="M738" s="11"/>
      <c r="N738" s="11"/>
      <c r="O738" s="11"/>
      <c r="P738" s="11"/>
      <c r="Q738" s="11">
        <v>130</v>
      </c>
      <c r="R738" s="11">
        <v>100</v>
      </c>
      <c r="S738" s="11"/>
      <c r="T738" s="11"/>
      <c r="U738" s="11">
        <v>40</v>
      </c>
      <c r="V738" s="11"/>
      <c r="W738" s="11"/>
      <c r="X738" s="11">
        <v>60</v>
      </c>
      <c r="Y738" s="11"/>
      <c r="Z738" s="11"/>
      <c r="AA738" s="11"/>
      <c r="AB738" s="11"/>
      <c r="AC738" s="11">
        <v>330</v>
      </c>
      <c r="AD738" s="11">
        <v>21</v>
      </c>
      <c r="AE738" s="11"/>
      <c r="AF738" s="11"/>
      <c r="AG738" s="11"/>
      <c r="AH738" s="11"/>
      <c r="AI738" s="11"/>
      <c r="AJ738" s="11"/>
      <c r="AK738" s="11"/>
      <c r="AL738" s="11"/>
      <c r="AM738" s="11">
        <v>300</v>
      </c>
      <c r="AN738" s="11">
        <v>51</v>
      </c>
      <c r="AO738" s="11"/>
      <c r="AP738" s="11"/>
      <c r="AQ738" s="11"/>
      <c r="AR738" s="11"/>
      <c r="AS738" s="11"/>
      <c r="AT738" s="20" t="str">
        <f>HYPERLINK("http://www.openstreetmap.org/?mlat=34.7964&amp;mlon=44.585&amp;zoom=12#map=12/34.7964/44.585","Maplink1")</f>
        <v>Maplink1</v>
      </c>
      <c r="AU738" s="20" t="str">
        <f>HYPERLINK("https://www.google.iq/maps/search/+34.7964,44.585/@34.7964,44.585,14z?hl=en","Maplink2")</f>
        <v>Maplink2</v>
      </c>
      <c r="AV738" s="20" t="str">
        <f>HYPERLINK("http://www.bing.com/maps/?lvl=14&amp;sty=h&amp;cp=34.7964~44.585&amp;sp=point.34.7964_44.585","Maplink3")</f>
        <v>Maplink3</v>
      </c>
    </row>
    <row r="739" spans="1:48" s="19" customFormat="1" x14ac:dyDescent="0.25">
      <c r="A739" s="9">
        <v>20484</v>
      </c>
      <c r="B739" s="10" t="s">
        <v>22</v>
      </c>
      <c r="C739" s="10" t="s">
        <v>1531</v>
      </c>
      <c r="D739" s="10" t="s">
        <v>1534</v>
      </c>
      <c r="E739" s="10" t="s">
        <v>1535</v>
      </c>
      <c r="F739" s="10">
        <v>34.818984</v>
      </c>
      <c r="G739" s="10">
        <v>44.557499</v>
      </c>
      <c r="H739" s="11">
        <v>328</v>
      </c>
      <c r="I739" s="11">
        <v>1968</v>
      </c>
      <c r="J739" s="11"/>
      <c r="K739" s="11"/>
      <c r="L739" s="11">
        <v>15</v>
      </c>
      <c r="M739" s="11"/>
      <c r="N739" s="11"/>
      <c r="O739" s="11"/>
      <c r="P739" s="11"/>
      <c r="Q739" s="11">
        <v>50</v>
      </c>
      <c r="R739" s="11">
        <v>35</v>
      </c>
      <c r="S739" s="11"/>
      <c r="T739" s="11"/>
      <c r="U739" s="11">
        <v>35</v>
      </c>
      <c r="V739" s="11"/>
      <c r="W739" s="11"/>
      <c r="X739" s="11">
        <v>193</v>
      </c>
      <c r="Y739" s="11"/>
      <c r="Z739" s="11"/>
      <c r="AA739" s="11"/>
      <c r="AB739" s="11"/>
      <c r="AC739" s="11">
        <v>300</v>
      </c>
      <c r="AD739" s="11">
        <v>28</v>
      </c>
      <c r="AE739" s="11"/>
      <c r="AF739" s="11"/>
      <c r="AG739" s="11"/>
      <c r="AH739" s="11"/>
      <c r="AI739" s="11"/>
      <c r="AJ739" s="11"/>
      <c r="AK739" s="11"/>
      <c r="AL739" s="11"/>
      <c r="AM739" s="11">
        <v>298</v>
      </c>
      <c r="AN739" s="11">
        <v>30</v>
      </c>
      <c r="AO739" s="11"/>
      <c r="AP739" s="11"/>
      <c r="AQ739" s="11"/>
      <c r="AR739" s="11"/>
      <c r="AS739" s="11"/>
      <c r="AT739" s="20" t="str">
        <f>HYPERLINK("http://www.openstreetmap.org/?mlat=34.819&amp;mlon=44.5575&amp;zoom=12#map=12/34.819/44.5575","Maplink1")</f>
        <v>Maplink1</v>
      </c>
      <c r="AU739" s="20" t="str">
        <f>HYPERLINK("https://www.google.iq/maps/search/+34.819,44.5575/@34.819,44.5575,14z?hl=en","Maplink2")</f>
        <v>Maplink2</v>
      </c>
      <c r="AV739" s="20" t="str">
        <f>HYPERLINK("http://www.bing.com/maps/?lvl=14&amp;sty=h&amp;cp=34.819~44.5575&amp;sp=point.34.819_44.5575","Maplink3")</f>
        <v>Maplink3</v>
      </c>
    </row>
    <row r="740" spans="1:48" s="19" customFormat="1" x14ac:dyDescent="0.25">
      <c r="A740" s="9">
        <v>27235</v>
      </c>
      <c r="B740" s="10" t="s">
        <v>22</v>
      </c>
      <c r="C740" s="10" t="s">
        <v>1531</v>
      </c>
      <c r="D740" s="10" t="s">
        <v>1536</v>
      </c>
      <c r="E740" s="10" t="s">
        <v>1537</v>
      </c>
      <c r="F740" s="10">
        <v>34.730262000000003</v>
      </c>
      <c r="G740" s="10">
        <v>44.589300000000001</v>
      </c>
      <c r="H740" s="11">
        <v>35</v>
      </c>
      <c r="I740" s="11">
        <v>210</v>
      </c>
      <c r="J740" s="11"/>
      <c r="K740" s="11"/>
      <c r="L740" s="11">
        <v>5</v>
      </c>
      <c r="M740" s="11"/>
      <c r="N740" s="11"/>
      <c r="O740" s="11"/>
      <c r="P740" s="11"/>
      <c r="Q740" s="11">
        <v>5</v>
      </c>
      <c r="R740" s="11">
        <v>5</v>
      </c>
      <c r="S740" s="11"/>
      <c r="T740" s="11"/>
      <c r="U740" s="11">
        <v>10</v>
      </c>
      <c r="V740" s="11"/>
      <c r="W740" s="11"/>
      <c r="X740" s="11">
        <v>10</v>
      </c>
      <c r="Y740" s="11"/>
      <c r="Z740" s="11"/>
      <c r="AA740" s="11"/>
      <c r="AB740" s="11"/>
      <c r="AC740" s="11">
        <v>35</v>
      </c>
      <c r="AD740" s="11"/>
      <c r="AE740" s="11"/>
      <c r="AF740" s="11"/>
      <c r="AG740" s="11"/>
      <c r="AH740" s="11"/>
      <c r="AI740" s="11"/>
      <c r="AJ740" s="11"/>
      <c r="AK740" s="11"/>
      <c r="AL740" s="11"/>
      <c r="AM740" s="11">
        <v>35</v>
      </c>
      <c r="AN740" s="11"/>
      <c r="AO740" s="11"/>
      <c r="AP740" s="11"/>
      <c r="AQ740" s="11"/>
      <c r="AR740" s="11"/>
      <c r="AS740" s="11"/>
      <c r="AT740" s="20" t="str">
        <f>HYPERLINK("http://www.openstreetmap.org/?mlat=34.7303&amp;mlon=44.5893&amp;zoom=12#map=12/34.7303/44.5893","Maplink1")</f>
        <v>Maplink1</v>
      </c>
      <c r="AU740" s="20" t="str">
        <f>HYPERLINK("https://www.google.iq/maps/search/+34.7303,44.5893/@34.7303,44.5893,14z?hl=en","Maplink2")</f>
        <v>Maplink2</v>
      </c>
      <c r="AV740" s="20" t="str">
        <f>HYPERLINK("http://www.bing.com/maps/?lvl=14&amp;sty=h&amp;cp=34.7303~44.5893&amp;sp=point.34.7303_44.5893","Maplink3")</f>
        <v>Maplink3</v>
      </c>
    </row>
    <row r="741" spans="1:48" s="19" customFormat="1" x14ac:dyDescent="0.25">
      <c r="A741" s="9">
        <v>27238</v>
      </c>
      <c r="B741" s="10" t="s">
        <v>22</v>
      </c>
      <c r="C741" s="10" t="s">
        <v>1531</v>
      </c>
      <c r="D741" s="10" t="s">
        <v>1538</v>
      </c>
      <c r="E741" s="10" t="s">
        <v>1539</v>
      </c>
      <c r="F741" s="10">
        <v>34.722593000000003</v>
      </c>
      <c r="G741" s="10">
        <v>44.583936999999999</v>
      </c>
      <c r="H741" s="11">
        <v>25</v>
      </c>
      <c r="I741" s="11">
        <v>150</v>
      </c>
      <c r="J741" s="11"/>
      <c r="K741" s="11"/>
      <c r="L741" s="11">
        <v>5</v>
      </c>
      <c r="M741" s="11"/>
      <c r="N741" s="11"/>
      <c r="O741" s="11"/>
      <c r="P741" s="11"/>
      <c r="Q741" s="11">
        <v>5</v>
      </c>
      <c r="R741" s="11">
        <v>5</v>
      </c>
      <c r="S741" s="11"/>
      <c r="T741" s="11"/>
      <c r="U741" s="11">
        <v>3</v>
      </c>
      <c r="V741" s="11"/>
      <c r="W741" s="11"/>
      <c r="X741" s="11">
        <v>7</v>
      </c>
      <c r="Y741" s="11"/>
      <c r="Z741" s="11"/>
      <c r="AA741" s="11"/>
      <c r="AB741" s="11"/>
      <c r="AC741" s="11">
        <v>25</v>
      </c>
      <c r="AD741" s="11"/>
      <c r="AE741" s="11"/>
      <c r="AF741" s="11"/>
      <c r="AG741" s="11"/>
      <c r="AH741" s="11"/>
      <c r="AI741" s="11"/>
      <c r="AJ741" s="11"/>
      <c r="AK741" s="11"/>
      <c r="AL741" s="11"/>
      <c r="AM741" s="11">
        <v>25</v>
      </c>
      <c r="AN741" s="11"/>
      <c r="AO741" s="11"/>
      <c r="AP741" s="11"/>
      <c r="AQ741" s="11"/>
      <c r="AR741" s="11"/>
      <c r="AS741" s="11"/>
      <c r="AT741" s="20" t="str">
        <f>HYPERLINK("http://www.openstreetmap.org/?mlat=34.7226&amp;mlon=44.5839&amp;zoom=12#map=12/34.7226/44.5839","Maplink1")</f>
        <v>Maplink1</v>
      </c>
      <c r="AU741" s="20" t="str">
        <f>HYPERLINK("https://www.google.iq/maps/search/+34.7226,44.5839/@34.7226,44.5839,14z?hl=en","Maplink2")</f>
        <v>Maplink2</v>
      </c>
      <c r="AV741" s="20" t="str">
        <f>HYPERLINK("http://www.bing.com/maps/?lvl=14&amp;sty=h&amp;cp=34.7226~44.5839&amp;sp=point.34.7226_44.5839","Maplink3")</f>
        <v>Maplink3</v>
      </c>
    </row>
    <row r="742" spans="1:48" s="19" customFormat="1" x14ac:dyDescent="0.25">
      <c r="A742" s="9">
        <v>27234</v>
      </c>
      <c r="B742" s="10" t="s">
        <v>22</v>
      </c>
      <c r="C742" s="10" t="s">
        <v>1531</v>
      </c>
      <c r="D742" s="10" t="s">
        <v>1540</v>
      </c>
      <c r="E742" s="10" t="s">
        <v>211</v>
      </c>
      <c r="F742" s="10">
        <v>34.726584000000003</v>
      </c>
      <c r="G742" s="10">
        <v>44.584608000000003</v>
      </c>
      <c r="H742" s="11">
        <v>85</v>
      </c>
      <c r="I742" s="11">
        <v>510</v>
      </c>
      <c r="J742" s="11"/>
      <c r="K742" s="11"/>
      <c r="L742" s="11"/>
      <c r="M742" s="11"/>
      <c r="N742" s="11"/>
      <c r="O742" s="11"/>
      <c r="P742" s="11"/>
      <c r="Q742" s="11">
        <v>15</v>
      </c>
      <c r="R742" s="11">
        <v>30</v>
      </c>
      <c r="S742" s="11"/>
      <c r="T742" s="11"/>
      <c r="U742" s="11">
        <v>10</v>
      </c>
      <c r="V742" s="11"/>
      <c r="W742" s="11"/>
      <c r="X742" s="11">
        <v>30</v>
      </c>
      <c r="Y742" s="11"/>
      <c r="Z742" s="11"/>
      <c r="AA742" s="11"/>
      <c r="AB742" s="11"/>
      <c r="AC742" s="11">
        <v>85</v>
      </c>
      <c r="AD742" s="11"/>
      <c r="AE742" s="11"/>
      <c r="AF742" s="11"/>
      <c r="AG742" s="11"/>
      <c r="AH742" s="11"/>
      <c r="AI742" s="11"/>
      <c r="AJ742" s="11"/>
      <c r="AK742" s="11"/>
      <c r="AL742" s="11"/>
      <c r="AM742" s="11">
        <v>65</v>
      </c>
      <c r="AN742" s="11">
        <v>20</v>
      </c>
      <c r="AO742" s="11"/>
      <c r="AP742" s="11"/>
      <c r="AQ742" s="11"/>
      <c r="AR742" s="11"/>
      <c r="AS742" s="11"/>
      <c r="AT742" s="20" t="str">
        <f>HYPERLINK("http://www.openstreetmap.org/?mlat=34.7266&amp;mlon=44.5846&amp;zoom=12#map=12/34.7266/44.5846","Maplink1")</f>
        <v>Maplink1</v>
      </c>
      <c r="AU742" s="20" t="str">
        <f>HYPERLINK("https://www.google.iq/maps/search/+34.7266,44.5846/@34.7266,44.5846,14z?hl=en","Maplink2")</f>
        <v>Maplink2</v>
      </c>
      <c r="AV742" s="20" t="str">
        <f>HYPERLINK("http://www.bing.com/maps/?lvl=14&amp;sty=h&amp;cp=34.7266~44.5846&amp;sp=point.34.7266_44.5846","Maplink3")</f>
        <v>Maplink3</v>
      </c>
    </row>
    <row r="743" spans="1:48" s="19" customFormat="1" x14ac:dyDescent="0.25">
      <c r="A743" s="9">
        <v>27236</v>
      </c>
      <c r="B743" s="10" t="s">
        <v>22</v>
      </c>
      <c r="C743" s="10" t="s">
        <v>1531</v>
      </c>
      <c r="D743" s="10" t="s">
        <v>1541</v>
      </c>
      <c r="E743" s="10" t="s">
        <v>1120</v>
      </c>
      <c r="F743" s="10">
        <v>34.727373999999998</v>
      </c>
      <c r="G743" s="10">
        <v>44.58222</v>
      </c>
      <c r="H743" s="11">
        <v>45</v>
      </c>
      <c r="I743" s="11">
        <v>270</v>
      </c>
      <c r="J743" s="11"/>
      <c r="K743" s="11"/>
      <c r="L743" s="11"/>
      <c r="M743" s="11"/>
      <c r="N743" s="11"/>
      <c r="O743" s="11"/>
      <c r="P743" s="11"/>
      <c r="Q743" s="11">
        <v>10</v>
      </c>
      <c r="R743" s="11">
        <v>10</v>
      </c>
      <c r="S743" s="11"/>
      <c r="T743" s="11"/>
      <c r="U743" s="11">
        <v>5</v>
      </c>
      <c r="V743" s="11"/>
      <c r="W743" s="11"/>
      <c r="X743" s="11">
        <v>20</v>
      </c>
      <c r="Y743" s="11"/>
      <c r="Z743" s="11"/>
      <c r="AA743" s="11"/>
      <c r="AB743" s="11"/>
      <c r="AC743" s="11">
        <v>45</v>
      </c>
      <c r="AD743" s="11"/>
      <c r="AE743" s="11"/>
      <c r="AF743" s="11"/>
      <c r="AG743" s="11"/>
      <c r="AH743" s="11"/>
      <c r="AI743" s="11"/>
      <c r="AJ743" s="11"/>
      <c r="AK743" s="11"/>
      <c r="AL743" s="11"/>
      <c r="AM743" s="11">
        <v>45</v>
      </c>
      <c r="AN743" s="11"/>
      <c r="AO743" s="11"/>
      <c r="AP743" s="11"/>
      <c r="AQ743" s="11"/>
      <c r="AR743" s="11"/>
      <c r="AS743" s="11"/>
      <c r="AT743" s="20" t="str">
        <f>HYPERLINK("http://www.openstreetmap.org/?mlat=34.7274&amp;mlon=44.5822&amp;zoom=12#map=12/34.7274/44.5822","Maplink1")</f>
        <v>Maplink1</v>
      </c>
      <c r="AU743" s="20" t="str">
        <f>HYPERLINK("https://www.google.iq/maps/search/+34.7274,44.5822/@34.7274,44.5822,14z?hl=en","Maplink2")</f>
        <v>Maplink2</v>
      </c>
      <c r="AV743" s="20" t="str">
        <f>HYPERLINK("http://www.bing.com/maps/?lvl=14&amp;sty=h&amp;cp=34.7274~44.5822&amp;sp=point.34.7274_44.5822","Maplink3")</f>
        <v>Maplink3</v>
      </c>
    </row>
    <row r="744" spans="1:48" s="19" customFormat="1" x14ac:dyDescent="0.25">
      <c r="A744" s="9">
        <v>27237</v>
      </c>
      <c r="B744" s="10" t="s">
        <v>22</v>
      </c>
      <c r="C744" s="10" t="s">
        <v>1531</v>
      </c>
      <c r="D744" s="10" t="s">
        <v>1542</v>
      </c>
      <c r="E744" s="10" t="s">
        <v>182</v>
      </c>
      <c r="F744" s="10">
        <v>34.724364000000001</v>
      </c>
      <c r="G744" s="10">
        <v>44.587766000000002</v>
      </c>
      <c r="H744" s="11">
        <v>40</v>
      </c>
      <c r="I744" s="11">
        <v>240</v>
      </c>
      <c r="J744" s="11"/>
      <c r="K744" s="11"/>
      <c r="L744" s="11"/>
      <c r="M744" s="11"/>
      <c r="N744" s="11"/>
      <c r="O744" s="11"/>
      <c r="P744" s="11"/>
      <c r="Q744" s="11">
        <v>10</v>
      </c>
      <c r="R744" s="11">
        <v>15</v>
      </c>
      <c r="S744" s="11"/>
      <c r="T744" s="11"/>
      <c r="U744" s="11">
        <v>5</v>
      </c>
      <c r="V744" s="11"/>
      <c r="W744" s="11"/>
      <c r="X744" s="11">
        <v>10</v>
      </c>
      <c r="Y744" s="11"/>
      <c r="Z744" s="11"/>
      <c r="AA744" s="11"/>
      <c r="AB744" s="11"/>
      <c r="AC744" s="11">
        <v>40</v>
      </c>
      <c r="AD744" s="11"/>
      <c r="AE744" s="11"/>
      <c r="AF744" s="11"/>
      <c r="AG744" s="11"/>
      <c r="AH744" s="11"/>
      <c r="AI744" s="11"/>
      <c r="AJ744" s="11"/>
      <c r="AK744" s="11"/>
      <c r="AL744" s="11"/>
      <c r="AM744" s="11">
        <v>35</v>
      </c>
      <c r="AN744" s="11">
        <v>5</v>
      </c>
      <c r="AO744" s="11"/>
      <c r="AP744" s="11"/>
      <c r="AQ744" s="11"/>
      <c r="AR744" s="11"/>
      <c r="AS744" s="11"/>
      <c r="AT744" s="20" t="str">
        <f>HYPERLINK("http://www.openstreetmap.org/?mlat=34.7244&amp;mlon=44.5878&amp;zoom=12#map=12/34.7244/44.5878","Maplink1")</f>
        <v>Maplink1</v>
      </c>
      <c r="AU744" s="20" t="str">
        <f>HYPERLINK("https://www.google.iq/maps/search/+34.7244,44.5878/@34.7244,44.5878,14z?hl=en","Maplink2")</f>
        <v>Maplink2</v>
      </c>
      <c r="AV744" s="20" t="str">
        <f>HYPERLINK("http://www.bing.com/maps/?lvl=14&amp;sty=h&amp;cp=34.7244~44.5878&amp;sp=point.34.7244_44.5878","Maplink3")</f>
        <v>Maplink3</v>
      </c>
    </row>
    <row r="745" spans="1:48" s="19" customFormat="1" x14ac:dyDescent="0.25">
      <c r="A745" s="9">
        <v>27239</v>
      </c>
      <c r="B745" s="10" t="s">
        <v>22</v>
      </c>
      <c r="C745" s="10" t="s">
        <v>1531</v>
      </c>
      <c r="D745" s="10" t="s">
        <v>1543</v>
      </c>
      <c r="E745" s="10" t="s">
        <v>1544</v>
      </c>
      <c r="F745" s="10">
        <v>34.725079999999998</v>
      </c>
      <c r="G745" s="10">
        <v>44.580514999999998</v>
      </c>
      <c r="H745" s="11">
        <v>43</v>
      </c>
      <c r="I745" s="11">
        <v>258</v>
      </c>
      <c r="J745" s="11"/>
      <c r="K745" s="11"/>
      <c r="L745" s="11"/>
      <c r="M745" s="11"/>
      <c r="N745" s="11"/>
      <c r="O745" s="11"/>
      <c r="P745" s="11"/>
      <c r="Q745" s="11">
        <v>8</v>
      </c>
      <c r="R745" s="11">
        <v>15</v>
      </c>
      <c r="S745" s="11"/>
      <c r="T745" s="11"/>
      <c r="U745" s="11">
        <v>8</v>
      </c>
      <c r="V745" s="11"/>
      <c r="W745" s="11"/>
      <c r="X745" s="11">
        <v>12</v>
      </c>
      <c r="Y745" s="11"/>
      <c r="Z745" s="11"/>
      <c r="AA745" s="11"/>
      <c r="AB745" s="11"/>
      <c r="AC745" s="11">
        <v>43</v>
      </c>
      <c r="AD745" s="11"/>
      <c r="AE745" s="11"/>
      <c r="AF745" s="11"/>
      <c r="AG745" s="11"/>
      <c r="AH745" s="11"/>
      <c r="AI745" s="11"/>
      <c r="AJ745" s="11"/>
      <c r="AK745" s="11"/>
      <c r="AL745" s="11"/>
      <c r="AM745" s="11">
        <v>43</v>
      </c>
      <c r="AN745" s="11"/>
      <c r="AO745" s="11"/>
      <c r="AP745" s="11"/>
      <c r="AQ745" s="11"/>
      <c r="AR745" s="11"/>
      <c r="AS745" s="11"/>
      <c r="AT745" s="20" t="str">
        <f>HYPERLINK("http://www.openstreetmap.org/?mlat=34.7251&amp;mlon=44.5805&amp;zoom=12#map=12/34.7251/44.5805","Maplink1")</f>
        <v>Maplink1</v>
      </c>
      <c r="AU745" s="20" t="str">
        <f>HYPERLINK("https://www.google.iq/maps/search/+34.7251,44.5805/@34.7251,44.5805,14z?hl=en","Maplink2")</f>
        <v>Maplink2</v>
      </c>
      <c r="AV745" s="20" t="str">
        <f>HYPERLINK("http://www.bing.com/maps/?lvl=14&amp;sty=h&amp;cp=34.7251~44.5805&amp;sp=point.34.7251_44.5805","Maplink3")</f>
        <v>Maplink3</v>
      </c>
    </row>
    <row r="746" spans="1:48" s="19" customFormat="1" x14ac:dyDescent="0.25">
      <c r="A746" s="9">
        <v>27240</v>
      </c>
      <c r="B746" s="10" t="s">
        <v>22</v>
      </c>
      <c r="C746" s="10" t="s">
        <v>1531</v>
      </c>
      <c r="D746" s="10" t="s">
        <v>1545</v>
      </c>
      <c r="E746" s="10" t="s">
        <v>1546</v>
      </c>
      <c r="F746" s="10">
        <v>34.724910000000001</v>
      </c>
      <c r="G746" s="10">
        <v>44.590226000000001</v>
      </c>
      <c r="H746" s="11">
        <v>20</v>
      </c>
      <c r="I746" s="11">
        <v>120</v>
      </c>
      <c r="J746" s="11"/>
      <c r="K746" s="11"/>
      <c r="L746" s="11"/>
      <c r="M746" s="11"/>
      <c r="N746" s="11"/>
      <c r="O746" s="11"/>
      <c r="P746" s="11"/>
      <c r="Q746" s="11"/>
      <c r="R746" s="11">
        <v>5</v>
      </c>
      <c r="S746" s="11"/>
      <c r="T746" s="11"/>
      <c r="U746" s="11">
        <v>5</v>
      </c>
      <c r="V746" s="11"/>
      <c r="W746" s="11"/>
      <c r="X746" s="11">
        <v>10</v>
      </c>
      <c r="Y746" s="11"/>
      <c r="Z746" s="11"/>
      <c r="AA746" s="11"/>
      <c r="AB746" s="11"/>
      <c r="AC746" s="11">
        <v>20</v>
      </c>
      <c r="AD746" s="11"/>
      <c r="AE746" s="11"/>
      <c r="AF746" s="11"/>
      <c r="AG746" s="11"/>
      <c r="AH746" s="11"/>
      <c r="AI746" s="11"/>
      <c r="AJ746" s="11"/>
      <c r="AK746" s="11"/>
      <c r="AL746" s="11"/>
      <c r="AM746" s="11">
        <v>20</v>
      </c>
      <c r="AN746" s="11"/>
      <c r="AO746" s="11"/>
      <c r="AP746" s="11"/>
      <c r="AQ746" s="11"/>
      <c r="AR746" s="11"/>
      <c r="AS746" s="11"/>
      <c r="AT746" s="20" t="str">
        <f>HYPERLINK("http://www.openstreetmap.org/?mlat=34.7249&amp;mlon=44.5902&amp;zoom=12#map=12/34.7249/44.5902","Maplink1")</f>
        <v>Maplink1</v>
      </c>
      <c r="AU746" s="20" t="str">
        <f>HYPERLINK("https://www.google.iq/maps/search/+34.7249,44.5902/@34.7249,44.5902,14z?hl=en","Maplink2")</f>
        <v>Maplink2</v>
      </c>
      <c r="AV746" s="20" t="str">
        <f>HYPERLINK("http://www.bing.com/maps/?lvl=14&amp;sty=h&amp;cp=34.7249~44.5902&amp;sp=point.34.7249_44.5902","Maplink3")</f>
        <v>Maplink3</v>
      </c>
    </row>
    <row r="747" spans="1:48" s="19" customFormat="1" x14ac:dyDescent="0.25">
      <c r="A747" s="9">
        <v>27241</v>
      </c>
      <c r="B747" s="10" t="s">
        <v>22</v>
      </c>
      <c r="C747" s="10" t="s">
        <v>1531</v>
      </c>
      <c r="D747" s="10" t="s">
        <v>1547</v>
      </c>
      <c r="E747" s="10" t="s">
        <v>1548</v>
      </c>
      <c r="F747" s="10">
        <v>34.719239999999999</v>
      </c>
      <c r="G747" s="10">
        <v>44.581716</v>
      </c>
      <c r="H747" s="11">
        <v>30</v>
      </c>
      <c r="I747" s="11">
        <v>180</v>
      </c>
      <c r="J747" s="11"/>
      <c r="K747" s="11"/>
      <c r="L747" s="11"/>
      <c r="M747" s="11"/>
      <c r="N747" s="11"/>
      <c r="O747" s="11"/>
      <c r="P747" s="11"/>
      <c r="Q747" s="11">
        <v>4</v>
      </c>
      <c r="R747" s="11">
        <v>10</v>
      </c>
      <c r="S747" s="11"/>
      <c r="T747" s="11"/>
      <c r="U747" s="11">
        <v>1</v>
      </c>
      <c r="V747" s="11"/>
      <c r="W747" s="11"/>
      <c r="X747" s="11">
        <v>15</v>
      </c>
      <c r="Y747" s="11"/>
      <c r="Z747" s="11"/>
      <c r="AA747" s="11"/>
      <c r="AB747" s="11"/>
      <c r="AC747" s="11">
        <v>30</v>
      </c>
      <c r="AD747" s="11"/>
      <c r="AE747" s="11"/>
      <c r="AF747" s="11"/>
      <c r="AG747" s="11"/>
      <c r="AH747" s="11"/>
      <c r="AI747" s="11"/>
      <c r="AJ747" s="11"/>
      <c r="AK747" s="11"/>
      <c r="AL747" s="11"/>
      <c r="AM747" s="11">
        <v>30</v>
      </c>
      <c r="AN747" s="11"/>
      <c r="AO747" s="11"/>
      <c r="AP747" s="11"/>
      <c r="AQ747" s="11"/>
      <c r="AR747" s="11"/>
      <c r="AS747" s="11"/>
      <c r="AT747" s="20" t="str">
        <f>HYPERLINK("http://www.openstreetmap.org/?mlat=34.7192&amp;mlon=44.5817&amp;zoom=12#map=12/34.7192/44.5817","Maplink1")</f>
        <v>Maplink1</v>
      </c>
      <c r="AU747" s="20" t="str">
        <f>HYPERLINK("https://www.google.iq/maps/search/+34.7192,44.5817/@34.7192,44.5817,14z?hl=en","Maplink2")</f>
        <v>Maplink2</v>
      </c>
      <c r="AV747" s="20" t="str">
        <f>HYPERLINK("http://www.bing.com/maps/?lvl=14&amp;sty=h&amp;cp=34.7192~44.5817&amp;sp=point.34.7192_44.5817","Maplink3")</f>
        <v>Maplink3</v>
      </c>
    </row>
    <row r="748" spans="1:48" s="19" customFormat="1" x14ac:dyDescent="0.25">
      <c r="A748" s="9">
        <v>27242</v>
      </c>
      <c r="B748" s="10" t="s">
        <v>22</v>
      </c>
      <c r="C748" s="10" t="s">
        <v>1531</v>
      </c>
      <c r="D748" s="10" t="s">
        <v>1549</v>
      </c>
      <c r="E748" s="10" t="s">
        <v>1550</v>
      </c>
      <c r="F748" s="10">
        <v>34.785884000000003</v>
      </c>
      <c r="G748" s="10">
        <v>44.570115999999999</v>
      </c>
      <c r="H748" s="11">
        <v>181</v>
      </c>
      <c r="I748" s="11">
        <v>1086</v>
      </c>
      <c r="J748" s="11"/>
      <c r="K748" s="11"/>
      <c r="L748" s="11">
        <v>7</v>
      </c>
      <c r="M748" s="11"/>
      <c r="N748" s="11"/>
      <c r="O748" s="11"/>
      <c r="P748" s="11"/>
      <c r="Q748" s="11">
        <v>10</v>
      </c>
      <c r="R748" s="11">
        <v>20</v>
      </c>
      <c r="S748" s="11"/>
      <c r="T748" s="11"/>
      <c r="U748" s="11">
        <v>15</v>
      </c>
      <c r="V748" s="11"/>
      <c r="W748" s="11"/>
      <c r="X748" s="11">
        <v>129</v>
      </c>
      <c r="Y748" s="11"/>
      <c r="Z748" s="11"/>
      <c r="AA748" s="11"/>
      <c r="AB748" s="11"/>
      <c r="AC748" s="11">
        <v>170</v>
      </c>
      <c r="AD748" s="11">
        <v>11</v>
      </c>
      <c r="AE748" s="11"/>
      <c r="AF748" s="11"/>
      <c r="AG748" s="11"/>
      <c r="AH748" s="11"/>
      <c r="AI748" s="11"/>
      <c r="AJ748" s="11"/>
      <c r="AK748" s="11"/>
      <c r="AL748" s="11"/>
      <c r="AM748" s="11">
        <v>165</v>
      </c>
      <c r="AN748" s="11">
        <v>16</v>
      </c>
      <c r="AO748" s="11"/>
      <c r="AP748" s="11"/>
      <c r="AQ748" s="11"/>
      <c r="AR748" s="11"/>
      <c r="AS748" s="11"/>
      <c r="AT748" s="20" t="str">
        <f>HYPERLINK("http://www.openstreetmap.org/?mlat=34.7859&amp;mlon=44.5701&amp;zoom=12#map=12/34.7859/44.5701","Maplink1")</f>
        <v>Maplink1</v>
      </c>
      <c r="AU748" s="20" t="str">
        <f>HYPERLINK("https://www.google.iq/maps/search/+34.7859,44.5701/@34.7859,44.5701,14z?hl=en","Maplink2")</f>
        <v>Maplink2</v>
      </c>
      <c r="AV748" s="20" t="str">
        <f>HYPERLINK("http://www.bing.com/maps/?lvl=14&amp;sty=h&amp;cp=34.7859~44.5701&amp;sp=point.34.7859_44.5701","Maplink3")</f>
        <v>Maplink3</v>
      </c>
    </row>
  </sheetData>
  <autoFilter ref="A4:AV718"/>
  <mergeCells count="6">
    <mergeCell ref="A1:E1"/>
    <mergeCell ref="J3:AA3"/>
    <mergeCell ref="AB3:AL3"/>
    <mergeCell ref="AT3:AV3"/>
    <mergeCell ref="A3:G3"/>
    <mergeCell ref="AM3:AR3"/>
  </mergeCells>
  <conditionalFormatting sqref="A166">
    <cfRule type="expression" dxfId="1" priority="1">
      <formula>$BA166="Verified with Updated Info"</formula>
    </cfRule>
    <cfRule type="expression" dxfId="0" priority="2">
      <formula>$BA166="New Location"</formula>
    </cfRule>
  </conditionalFormatting>
  <pageMargins left="1" right="1" top="1" bottom="1" header="1" footer="1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showGridLines="0" zoomScaleNormal="100" workbookViewId="0">
      <selection activeCell="B22" sqref="B22:S22"/>
    </sheetView>
  </sheetViews>
  <sheetFormatPr defaultRowHeight="15" x14ac:dyDescent="0.25"/>
  <cols>
    <col min="1" max="1" width="18.28515625" customWidth="1"/>
    <col min="2" max="4" width="10.28515625" customWidth="1"/>
    <col min="5" max="5" width="11.7109375" customWidth="1"/>
    <col min="6" max="10" width="10.28515625" customWidth="1"/>
    <col min="11" max="11" width="18.7109375" bestFit="1" customWidth="1"/>
    <col min="12" max="12" width="18.7109375" style="19" customWidth="1"/>
    <col min="13" max="13" width="10.28515625" customWidth="1"/>
    <col min="14" max="14" width="11.5703125" bestFit="1" customWidth="1"/>
    <col min="15" max="15" width="11.5703125" style="19" customWidth="1"/>
    <col min="16" max="16" width="10.28515625" customWidth="1"/>
    <col min="17" max="17" width="11.42578125" customWidth="1"/>
    <col min="18" max="18" width="11.42578125" style="19" customWidth="1"/>
    <col min="19" max="23" width="10.28515625" customWidth="1"/>
    <col min="24" max="24" width="255" customWidth="1"/>
  </cols>
  <sheetData>
    <row r="1" spans="1:21" ht="25.5" x14ac:dyDescent="0.25">
      <c r="A1" s="56" t="s">
        <v>37</v>
      </c>
      <c r="B1" s="56"/>
      <c r="C1" s="29" t="s">
        <v>38</v>
      </c>
      <c r="D1" s="29" t="s">
        <v>39</v>
      </c>
      <c r="E1" s="29" t="s">
        <v>40</v>
      </c>
      <c r="F1" s="29" t="s">
        <v>41</v>
      </c>
      <c r="M1" s="19"/>
    </row>
    <row r="2" spans="1:21" s="15" customFormat="1" x14ac:dyDescent="0.25">
      <c r="A2" s="69" t="s">
        <v>76</v>
      </c>
      <c r="B2" s="70"/>
      <c r="C2" s="28">
        <f>COUNT('RETURNEE DATASET'!AM:AM)</f>
        <v>132</v>
      </c>
      <c r="D2" s="28">
        <f>SUM('RETURNEE DATASET'!AM:AM)</f>
        <v>53626</v>
      </c>
      <c r="E2" s="28">
        <f t="shared" ref="E2:E7" si="0">D2*6</f>
        <v>321756</v>
      </c>
      <c r="F2" s="30">
        <f t="shared" ref="F2:F8" si="1">E2/$E$9</f>
        <v>0.15528914371760344</v>
      </c>
      <c r="L2" s="19"/>
      <c r="O2" s="19"/>
      <c r="R2" s="19"/>
    </row>
    <row r="3" spans="1:21" x14ac:dyDescent="0.25">
      <c r="A3" s="64" t="s">
        <v>42</v>
      </c>
      <c r="B3" s="65"/>
      <c r="C3" s="2">
        <f>COUNT('RETURNEE DATASET'!AN:AN)</f>
        <v>321</v>
      </c>
      <c r="D3" s="2">
        <f>SUM('RETURNEE DATASET'!AN:AN)</f>
        <v>66208</v>
      </c>
      <c r="E3" s="2">
        <f t="shared" si="0"/>
        <v>397248</v>
      </c>
      <c r="F3" s="3">
        <f t="shared" si="1"/>
        <v>0.19172385833840094</v>
      </c>
      <c r="H3" s="8"/>
      <c r="I3" s="12"/>
      <c r="J3" s="13"/>
      <c r="K3" s="8"/>
      <c r="P3" s="8"/>
      <c r="Q3" s="8"/>
      <c r="S3" s="8"/>
      <c r="T3" s="8"/>
      <c r="U3" s="8"/>
    </row>
    <row r="4" spans="1:21" x14ac:dyDescent="0.25">
      <c r="A4" s="64" t="s">
        <v>43</v>
      </c>
      <c r="B4" s="65"/>
      <c r="C4" s="2">
        <f>COUNT('RETURNEE DATASET'!AO:AO)</f>
        <v>302</v>
      </c>
      <c r="D4" s="2">
        <f>SUM('RETURNEE DATASET'!AO:AO)</f>
        <v>61544</v>
      </c>
      <c r="E4" s="2">
        <f t="shared" si="0"/>
        <v>369264</v>
      </c>
      <c r="F4" s="3">
        <f t="shared" si="1"/>
        <v>0.17821793646656822</v>
      </c>
      <c r="H4" s="8"/>
      <c r="I4" s="12"/>
      <c r="J4" s="13"/>
      <c r="K4" s="8"/>
      <c r="P4" s="8"/>
      <c r="Q4" s="8"/>
      <c r="S4" s="8"/>
      <c r="T4" s="8"/>
      <c r="U4" s="8"/>
    </row>
    <row r="5" spans="1:21" x14ac:dyDescent="0.25">
      <c r="A5" s="64" t="s">
        <v>44</v>
      </c>
      <c r="B5" s="65"/>
      <c r="C5" s="2">
        <f>COUNT('RETURNEE DATASET'!AP:AP)</f>
        <v>288</v>
      </c>
      <c r="D5" s="2">
        <f>SUM('RETURNEE DATASET'!AP:AP)</f>
        <v>62177</v>
      </c>
      <c r="E5" s="2">
        <f t="shared" si="0"/>
        <v>373062</v>
      </c>
      <c r="F5" s="3">
        <f t="shared" si="1"/>
        <v>0.18005096574291257</v>
      </c>
      <c r="H5" s="8"/>
      <c r="I5" s="12"/>
      <c r="J5" s="13"/>
      <c r="K5" s="8"/>
    </row>
    <row r="6" spans="1:21" x14ac:dyDescent="0.25">
      <c r="A6" s="64" t="s">
        <v>45</v>
      </c>
      <c r="B6" s="65"/>
      <c r="C6" s="2">
        <f>COUNT('RETURNEE DATASET'!AQ:AQ)</f>
        <v>144</v>
      </c>
      <c r="D6" s="2">
        <f>SUM('RETURNEE DATASET'!AQ:AQ)</f>
        <v>51539</v>
      </c>
      <c r="E6" s="2">
        <f t="shared" si="0"/>
        <v>309234</v>
      </c>
      <c r="F6" s="3">
        <f t="shared" si="1"/>
        <v>0.14924564908927693</v>
      </c>
      <c r="H6" s="8"/>
      <c r="I6" s="12"/>
      <c r="J6" s="13"/>
      <c r="K6" s="8"/>
    </row>
    <row r="7" spans="1:21" s="19" customFormat="1" x14ac:dyDescent="0.25">
      <c r="A7" s="71" t="s">
        <v>72</v>
      </c>
      <c r="B7" s="72"/>
      <c r="C7" s="2">
        <f>COUNT('RETURNEE DATASET'!AR:AUR)</f>
        <v>156</v>
      </c>
      <c r="D7" s="2">
        <f>SUM('RETURNEE DATASET'!AR:AR)</f>
        <v>29733</v>
      </c>
      <c r="E7" s="2">
        <f t="shared" si="0"/>
        <v>178398</v>
      </c>
      <c r="F7" s="3">
        <f t="shared" si="1"/>
        <v>8.6100251932933719E-2</v>
      </c>
      <c r="J7" s="13"/>
    </row>
    <row r="8" spans="1:21" s="19" customFormat="1" ht="17.25" customHeight="1" x14ac:dyDescent="0.25">
      <c r="A8" s="45" t="s">
        <v>77</v>
      </c>
      <c r="B8" s="46"/>
      <c r="C8" s="2">
        <f>COUNT('RETURNEE DATASET'!AS:AS)</f>
        <v>72</v>
      </c>
      <c r="D8" s="2">
        <f>SUM('RETURNEE DATASET'!AS:AS)</f>
        <v>20503</v>
      </c>
      <c r="E8" s="2">
        <f>D8*6</f>
        <v>123018</v>
      </c>
      <c r="F8" s="3">
        <f t="shared" si="1"/>
        <v>5.937219471230417E-2</v>
      </c>
      <c r="J8" s="13"/>
    </row>
    <row r="9" spans="1:21" x14ac:dyDescent="0.25">
      <c r="A9" s="64" t="s">
        <v>0</v>
      </c>
      <c r="B9" s="65"/>
      <c r="C9" s="2"/>
      <c r="D9" s="14">
        <f>SUM(D2:D8)</f>
        <v>345330</v>
      </c>
      <c r="E9" s="14">
        <f>SUM(E2:E8)</f>
        <v>2071980</v>
      </c>
      <c r="F9" s="17">
        <f>SUM(F2:F8)</f>
        <v>1</v>
      </c>
      <c r="H9" s="8"/>
      <c r="I9" s="8"/>
      <c r="J9" s="8"/>
      <c r="K9" s="8"/>
    </row>
    <row r="10" spans="1:21" ht="18" customHeight="1" x14ac:dyDescent="0.25"/>
    <row r="11" spans="1:21" ht="15" customHeight="1" x14ac:dyDescent="0.25">
      <c r="A11" s="24" t="s">
        <v>0</v>
      </c>
      <c r="B11" s="66" t="s">
        <v>2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8"/>
    </row>
    <row r="12" spans="1:21" ht="25.5" x14ac:dyDescent="0.25">
      <c r="A12" s="25" t="s">
        <v>46</v>
      </c>
      <c r="B12" s="23" t="s">
        <v>26</v>
      </c>
      <c r="C12" s="23" t="s">
        <v>34</v>
      </c>
      <c r="D12" s="23" t="s">
        <v>28</v>
      </c>
      <c r="E12" s="23" t="s">
        <v>33</v>
      </c>
      <c r="F12" s="23" t="s">
        <v>32</v>
      </c>
      <c r="G12" s="23" t="s">
        <v>35</v>
      </c>
      <c r="H12" s="23" t="s">
        <v>30</v>
      </c>
      <c r="I12" s="23" t="s">
        <v>27</v>
      </c>
      <c r="J12" s="23" t="s">
        <v>29</v>
      </c>
      <c r="K12" s="23" t="s">
        <v>31</v>
      </c>
      <c r="L12" s="23"/>
      <c r="M12" s="23" t="s">
        <v>36</v>
      </c>
      <c r="N12" s="23" t="s">
        <v>47</v>
      </c>
    </row>
    <row r="13" spans="1:21" x14ac:dyDescent="0.25">
      <c r="A13" s="1" t="s">
        <v>8</v>
      </c>
      <c r="B13" s="2">
        <f>SUMIF('RETURNEE DATASET'!B:B,A13,'RETURNEE DATASET'!AB:AB)</f>
        <v>0</v>
      </c>
      <c r="C13" s="2">
        <f>SUMIF('RETURNEE DATASET'!B:B,A13,'RETURNEE DATASET'!AC:AC)</f>
        <v>166050</v>
      </c>
      <c r="D13" s="2">
        <f>SUMIF('RETURNEE DATASET'!B:B,A13,'RETURNEE DATASET'!AD:AD)</f>
        <v>0</v>
      </c>
      <c r="E13" s="2">
        <f>SUMIF('RETURNEE DATASET'!B:B,A13,'RETURNEE DATASET'!AE:AE)</f>
        <v>0</v>
      </c>
      <c r="F13" s="2">
        <f>SUMIF('RETURNEE DATASET'!B:B,A13,'RETURNEE DATASET'!AF:AF)</f>
        <v>0</v>
      </c>
      <c r="G13" s="2">
        <f>SUMIF('RETURNEE DATASET'!B:B,A13,'RETURNEE DATASET'!AG:AG)</f>
        <v>0</v>
      </c>
      <c r="H13" s="2">
        <f>SUMIF('RETURNEE DATASET'!B:B,A13,'RETURNEE DATASET'!AH:AH)</f>
        <v>0</v>
      </c>
      <c r="I13" s="2">
        <f>SUMIF('RETURNEE DATASET'!B:B,A13,'RETURNEE DATASET'!AI:AI)</f>
        <v>4565</v>
      </c>
      <c r="J13" s="2">
        <f>SUMIF('RETURNEE DATASET'!B:B,A13,'RETURNEE DATASET'!AJ:AJ)</f>
        <v>0</v>
      </c>
      <c r="K13" s="2">
        <f>SUMIF('RETURNEE DATASET'!B:B,A13,'RETURNEE DATASET'!AK:AK)</f>
        <v>0</v>
      </c>
      <c r="L13" s="2"/>
      <c r="M13" s="2">
        <f>SUMIF('RETURNEE DATASET'!B:B,A13,'RETURNEE DATASET'!AL:AL)</f>
        <v>0</v>
      </c>
      <c r="N13" s="2">
        <f>SUM(B13:M13)</f>
        <v>170615</v>
      </c>
      <c r="O13" s="50"/>
    </row>
    <row r="14" spans="1:21" s="19" customFormat="1" x14ac:dyDescent="0.25">
      <c r="A14" s="40" t="s">
        <v>10</v>
      </c>
      <c r="B14" s="2">
        <f>SUMIF('RETURNEE DATASET'!B:B,A14,'RETURNEE DATASET'!AB:AB)</f>
        <v>0</v>
      </c>
      <c r="C14" s="2">
        <f>SUMIF('RETURNEE DATASET'!B:B,A14,'RETURNEE DATASET'!AC:AC)</f>
        <v>6250</v>
      </c>
      <c r="D14" s="2">
        <f>SUMIF('RETURNEE DATASET'!B:B,A14,'RETURNEE DATASET'!AD:AD)</f>
        <v>191</v>
      </c>
      <c r="E14" s="2">
        <f>SUMIF('RETURNEE DATASET'!B:B,A14,'RETURNEE DATASET'!AE:AE)</f>
        <v>0</v>
      </c>
      <c r="F14" s="2">
        <f>SUMIF('RETURNEE DATASET'!B:B,A14,'RETURNEE DATASET'!AF:AF)</f>
        <v>0</v>
      </c>
      <c r="G14" s="2">
        <f>SUMIF('RETURNEE DATASET'!B:B,A14,'RETURNEE DATASET'!AG:AG)</f>
        <v>0</v>
      </c>
      <c r="H14" s="2">
        <f>SUMIF('RETURNEE DATASET'!B:B,A14,'RETURNEE DATASET'!AH:AH)</f>
        <v>0</v>
      </c>
      <c r="I14" s="2">
        <f>SUMIF('RETURNEE DATASET'!B:B,A14,'RETURNEE DATASET'!AI:AI)</f>
        <v>0</v>
      </c>
      <c r="J14" s="2">
        <f>SUMIF('RETURNEE DATASET'!B:B,A14,'RETURNEE DATASET'!AJ:AJ)</f>
        <v>0</v>
      </c>
      <c r="K14" s="2">
        <f>SUMIF('RETURNEE DATASET'!B:B,A14,'RETURNEE DATASET'!AK:AK)</f>
        <v>0</v>
      </c>
      <c r="L14" s="2"/>
      <c r="M14" s="2">
        <f>SUMIF('RETURNEE DATASET'!B:B,A14,'RETURNEE DATASET'!AL:AL)</f>
        <v>0</v>
      </c>
      <c r="N14" s="2">
        <f>SUM(B14:M14)</f>
        <v>6441</v>
      </c>
      <c r="O14" s="50"/>
    </row>
    <row r="15" spans="1:21" x14ac:dyDescent="0.25">
      <c r="A15" s="1" t="s">
        <v>13</v>
      </c>
      <c r="B15" s="2">
        <f>SUMIF('RETURNEE DATASET'!B:B,A15,'RETURNEE DATASET'!AB:AB)</f>
        <v>0</v>
      </c>
      <c r="C15" s="2">
        <f>SUMIF('RETURNEE DATASET'!B:B,A15,'RETURNEE DATASET'!AC:AC)</f>
        <v>28463</v>
      </c>
      <c r="D15" s="2">
        <f>SUMIF('RETURNEE DATASET'!B:B,A15,'RETURNEE DATASET'!AD:AD)</f>
        <v>1081</v>
      </c>
      <c r="E15" s="2">
        <f>SUMIF('RETURNEE DATASET'!B:B,A15,'RETURNEE DATASET'!AE:AE)</f>
        <v>0</v>
      </c>
      <c r="F15" s="2">
        <f>SUMIF('RETURNEE DATASET'!B:B,A15,'RETURNEE DATASET'!AF:AF)</f>
        <v>0</v>
      </c>
      <c r="G15" s="2">
        <f>SUMIF('RETURNEE DATASET'!B:B,A15,'RETURNEE DATASET'!AG:AG)</f>
        <v>106</v>
      </c>
      <c r="H15" s="2">
        <f>SUMIF('RETURNEE DATASET'!B:B,A15,'RETURNEE DATASET'!AH:AH)</f>
        <v>0</v>
      </c>
      <c r="I15" s="2">
        <f>SUMIF('RETURNEE DATASET'!B:B,A15,'RETURNEE DATASET'!AI:AI)</f>
        <v>152</v>
      </c>
      <c r="J15" s="2">
        <f>SUMIF('RETURNEE DATASET'!B:B,A15,'RETURNEE DATASET'!AJ:AJ)</f>
        <v>0</v>
      </c>
      <c r="K15" s="2">
        <f>SUMIF('RETURNEE DATASET'!B:B,A15,'RETURNEE DATASET'!AK:AK)</f>
        <v>4312</v>
      </c>
      <c r="L15" s="2"/>
      <c r="M15" s="2">
        <f>SUMIF('RETURNEE DATASET'!B:B,A15,'RETURNEE DATASET'!AL:AL)</f>
        <v>0</v>
      </c>
      <c r="N15" s="2">
        <f t="shared" ref="N15:N19" si="2">SUM(B15:M15)</f>
        <v>34114</v>
      </c>
      <c r="O15" s="50"/>
    </row>
    <row r="16" spans="1:21" x14ac:dyDescent="0.25">
      <c r="A16" s="1" t="s">
        <v>14</v>
      </c>
      <c r="B16" s="2">
        <f>SUMIF('RETURNEE DATASET'!B:B,A16,'RETURNEE DATASET'!AB:AB)</f>
        <v>0</v>
      </c>
      <c r="C16" s="2">
        <f>SUMIF('RETURNEE DATASET'!B:B,A16,'RETURNEE DATASET'!AC:AC)</f>
        <v>5713</v>
      </c>
      <c r="D16" s="2">
        <f>SUMIF('RETURNEE DATASET'!B:B,A16,'RETURNEE DATASET'!AD:AD)</f>
        <v>0</v>
      </c>
      <c r="E16" s="2">
        <f>SUMIF('RETURNEE DATASET'!B:B,A16,'RETURNEE DATASET'!AE:AE)</f>
        <v>0</v>
      </c>
      <c r="F16" s="2">
        <f>SUMIF('RETURNEE DATASET'!B:B,A16,'RETURNEE DATASET'!AF:AF)</f>
        <v>0</v>
      </c>
      <c r="G16" s="2">
        <f>SUMIF('RETURNEE DATASET'!B:B,A16,'RETURNEE DATASET'!AG:AG)</f>
        <v>0</v>
      </c>
      <c r="H16" s="2">
        <f>SUMIF('RETURNEE DATASET'!B:B,A16,'RETURNEE DATASET'!AH:AH)</f>
        <v>0</v>
      </c>
      <c r="I16" s="2">
        <f>SUMIF('RETURNEE DATASET'!B:B,A16,'RETURNEE DATASET'!AI:AI)</f>
        <v>0</v>
      </c>
      <c r="J16" s="2">
        <f>SUMIF('RETURNEE DATASET'!B:B,A16,'RETURNEE DATASET'!AJ:AJ)</f>
        <v>0</v>
      </c>
      <c r="K16" s="2">
        <f>SUMIF('RETURNEE DATASET'!B:B,A16,'RETURNEE DATASET'!AK:AK)</f>
        <v>0</v>
      </c>
      <c r="L16" s="2"/>
      <c r="M16" s="2">
        <f>SUMIF('RETURNEE DATASET'!B:B,A16,'RETURNEE DATASET'!AL:AL)</f>
        <v>0</v>
      </c>
      <c r="N16" s="2">
        <f t="shared" si="2"/>
        <v>5713</v>
      </c>
      <c r="O16" s="50"/>
    </row>
    <row r="17" spans="1:26" x14ac:dyDescent="0.25">
      <c r="A17" s="1" t="s">
        <v>16</v>
      </c>
      <c r="B17" s="2">
        <f>SUMIF('RETURNEE DATASET'!B:B,A17,'RETURNEE DATASET'!AB:AB)</f>
        <v>0</v>
      </c>
      <c r="C17" s="2">
        <f>SUMIF('RETURNEE DATASET'!B:B,A17,'RETURNEE DATASET'!AC:AC)</f>
        <v>501</v>
      </c>
      <c r="D17" s="2">
        <f>SUMIF('RETURNEE DATASET'!B:B,A17,'RETURNEE DATASET'!AD:AD)</f>
        <v>78</v>
      </c>
      <c r="E17" s="2">
        <f>SUMIF('RETURNEE DATASET'!B:B,A17,'RETURNEE DATASET'!AE:AE)</f>
        <v>0</v>
      </c>
      <c r="F17" s="2">
        <f>SUMIF('RETURNEE DATASET'!B:B,A17,'RETURNEE DATASET'!AF:AF)</f>
        <v>0</v>
      </c>
      <c r="G17" s="2">
        <f>SUMIF('RETURNEE DATASET'!B:B,A17,'RETURNEE DATASET'!AG:AG)</f>
        <v>0</v>
      </c>
      <c r="H17" s="2">
        <f>SUMIF('RETURNEE DATASET'!B:B,A17,'RETURNEE DATASET'!AH:AH)</f>
        <v>0</v>
      </c>
      <c r="I17" s="2">
        <f>SUMIF('RETURNEE DATASET'!B:B,A17,'RETURNEE DATASET'!AI:AI)</f>
        <v>0</v>
      </c>
      <c r="J17" s="2">
        <f>SUMIF('RETURNEE DATASET'!B:B,A17,'RETURNEE DATASET'!AJ:AJ)</f>
        <v>0</v>
      </c>
      <c r="K17" s="2">
        <f>SUMIF('RETURNEE DATASET'!B:B,A17,'RETURNEE DATASET'!AK:AK)</f>
        <v>0</v>
      </c>
      <c r="L17" s="2"/>
      <c r="M17" s="2">
        <f>SUMIF('RETURNEE DATASET'!B:B,A17,'RETURNEE DATASET'!AL:AL)</f>
        <v>0</v>
      </c>
      <c r="N17" s="2">
        <f t="shared" si="2"/>
        <v>579</v>
      </c>
      <c r="O17" s="50"/>
    </row>
    <row r="18" spans="1:26" x14ac:dyDescent="0.25">
      <c r="A18" s="1" t="s">
        <v>20</v>
      </c>
      <c r="B18" s="2">
        <f>SUMIF('RETURNEE DATASET'!B:B,A18,'RETURNEE DATASET'!AB:AB)</f>
        <v>0</v>
      </c>
      <c r="C18" s="2">
        <f>SUMIF('RETURNEE DATASET'!B:B,A18,'RETURNEE DATASET'!AC:AC)</f>
        <v>62147</v>
      </c>
      <c r="D18" s="2">
        <f>SUMIF('RETURNEE DATASET'!B:B,A18,'RETURNEE DATASET'!AD:AD)</f>
        <v>313</v>
      </c>
      <c r="E18" s="2">
        <f>SUMIF('RETURNEE DATASET'!B:B,A18,'RETURNEE DATASET'!AE:AE)</f>
        <v>0</v>
      </c>
      <c r="F18" s="2">
        <f>SUMIF('RETURNEE DATASET'!B:B,A18,'RETURNEE DATASET'!AF:AF)</f>
        <v>99</v>
      </c>
      <c r="G18" s="2">
        <f>SUMIF('RETURNEE DATASET'!B:B,A18,'RETURNEE DATASET'!AG:AG)</f>
        <v>0</v>
      </c>
      <c r="H18" s="2">
        <f>SUMIF('RETURNEE DATASET'!B:B,A18,'RETURNEE DATASET'!AH:AH)</f>
        <v>0</v>
      </c>
      <c r="I18" s="2">
        <f>SUMIF('RETURNEE DATASET'!B:B,A18,'RETURNEE DATASET'!AI:AI)</f>
        <v>1</v>
      </c>
      <c r="J18" s="2">
        <f>SUMIF('RETURNEE DATASET'!B:B,A18,'RETURNEE DATASET'!AJ:AJ)</f>
        <v>0</v>
      </c>
      <c r="K18" s="2">
        <f>SUMIF('RETURNEE DATASET'!B:B,A18,'RETURNEE DATASET'!AK:AK)</f>
        <v>79</v>
      </c>
      <c r="L18" s="2"/>
      <c r="M18" s="2">
        <f>SUMIF('RETURNEE DATASET'!B:B,A18,'RETURNEE DATASET'!AL:AL)</f>
        <v>0</v>
      </c>
      <c r="N18" s="2">
        <f t="shared" si="2"/>
        <v>62639</v>
      </c>
      <c r="O18" s="50"/>
    </row>
    <row r="19" spans="1:26" s="15" customFormat="1" x14ac:dyDescent="0.25">
      <c r="A19" s="18" t="s">
        <v>22</v>
      </c>
      <c r="B19" s="2">
        <f>SUMIF('RETURNEE DATASET'!B:B,A19,'RETURNEE DATASET'!AB:AB)</f>
        <v>0</v>
      </c>
      <c r="C19" s="2">
        <f>SUMIF('RETURNEE DATASET'!B:B,A19,'RETURNEE DATASET'!AC:AC)</f>
        <v>58312</v>
      </c>
      <c r="D19" s="2">
        <f>SUMIF('RETURNEE DATASET'!B:B,A19,'RETURNEE DATASET'!AD:AD)</f>
        <v>921</v>
      </c>
      <c r="E19" s="2">
        <f>SUMIF('RETURNEE DATASET'!B:B,A19,'RETURNEE DATASET'!AE:AE)</f>
        <v>0</v>
      </c>
      <c r="F19" s="2">
        <f>SUMIF('RETURNEE DATASET'!B:B,A19,'RETURNEE DATASET'!AF:AF)</f>
        <v>1257</v>
      </c>
      <c r="G19" s="2">
        <f>SUMIF('RETURNEE DATASET'!B:B,A19,'RETURNEE DATASET'!AG:AG)</f>
        <v>431</v>
      </c>
      <c r="H19" s="2">
        <f>SUMIF('RETURNEE DATASET'!B:B,A19,'RETURNEE DATASET'!AH:AH)</f>
        <v>7</v>
      </c>
      <c r="I19" s="2">
        <f>SUMIF('RETURNEE DATASET'!B:B,A19,'RETURNEE DATASET'!AI:AI)</f>
        <v>3856</v>
      </c>
      <c r="J19" s="2">
        <f>SUMIF('RETURNEE DATASET'!B:B,A19,'RETURNEE DATASET'!AJ:AJ)</f>
        <v>0</v>
      </c>
      <c r="K19" s="2">
        <f>SUMIF('RETURNEE DATASET'!B:B,A19,'RETURNEE DATASET'!AK:AK)</f>
        <v>390</v>
      </c>
      <c r="L19" s="2"/>
      <c r="M19" s="2">
        <f>SUMIF('RETURNEE DATASET'!B:B,A19,'RETURNEE DATASET'!AL:AL)</f>
        <v>55</v>
      </c>
      <c r="N19" s="2">
        <f t="shared" si="2"/>
        <v>65229</v>
      </c>
      <c r="O19" s="50"/>
      <c r="R19" s="19"/>
    </row>
    <row r="20" spans="1:26" x14ac:dyDescent="0.25">
      <c r="A20" s="4" t="s">
        <v>48</v>
      </c>
      <c r="B20" s="5">
        <f>SUM(B13:B19)</f>
        <v>0</v>
      </c>
      <c r="C20" s="5">
        <f>SUM(C13:C19)</f>
        <v>327436</v>
      </c>
      <c r="D20" s="5">
        <f t="shared" ref="D20:N20" si="3">SUM(D13:D19)</f>
        <v>2584</v>
      </c>
      <c r="E20" s="5">
        <f t="shared" si="3"/>
        <v>0</v>
      </c>
      <c r="F20" s="5">
        <f t="shared" si="3"/>
        <v>1356</v>
      </c>
      <c r="G20" s="5">
        <f t="shared" si="3"/>
        <v>537</v>
      </c>
      <c r="H20" s="5">
        <f t="shared" si="3"/>
        <v>7</v>
      </c>
      <c r="I20" s="5">
        <f t="shared" si="3"/>
        <v>8574</v>
      </c>
      <c r="J20" s="5">
        <f t="shared" si="3"/>
        <v>0</v>
      </c>
      <c r="K20" s="5">
        <f t="shared" si="3"/>
        <v>4781</v>
      </c>
      <c r="L20" s="5"/>
      <c r="M20" s="5">
        <f t="shared" si="3"/>
        <v>55</v>
      </c>
      <c r="N20" s="5">
        <f t="shared" si="3"/>
        <v>345330</v>
      </c>
      <c r="O20" s="51"/>
    </row>
    <row r="21" spans="1:26" ht="18" customHeight="1" x14ac:dyDescent="0.25">
      <c r="Q21" s="19"/>
      <c r="S21" s="19"/>
      <c r="T21" s="19"/>
      <c r="U21" s="19"/>
      <c r="V21" s="19"/>
      <c r="W21" s="19"/>
    </row>
    <row r="22" spans="1:26" ht="15" customHeight="1" x14ac:dyDescent="0.25">
      <c r="A22" s="26" t="s">
        <v>0</v>
      </c>
      <c r="B22" s="61" t="s">
        <v>49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3"/>
      <c r="T22" s="19"/>
      <c r="U22" s="19"/>
      <c r="V22" s="19"/>
      <c r="W22" s="19"/>
    </row>
    <row r="23" spans="1:26" ht="25.5" x14ac:dyDescent="0.25">
      <c r="A23" s="27" t="s">
        <v>46</v>
      </c>
      <c r="B23" s="29" t="s">
        <v>8</v>
      </c>
      <c r="C23" s="29" t="s">
        <v>9</v>
      </c>
      <c r="D23" s="29" t="s">
        <v>10</v>
      </c>
      <c r="E23" s="47" t="s">
        <v>11</v>
      </c>
      <c r="F23" s="29" t="s">
        <v>12</v>
      </c>
      <c r="G23" s="29" t="s">
        <v>13</v>
      </c>
      <c r="H23" s="29" t="s">
        <v>14</v>
      </c>
      <c r="I23" s="29" t="s">
        <v>15</v>
      </c>
      <c r="J23" s="29" t="s">
        <v>16</v>
      </c>
      <c r="K23" s="47" t="s">
        <v>17</v>
      </c>
      <c r="L23" s="52" t="s">
        <v>18</v>
      </c>
      <c r="M23" s="29" t="s">
        <v>19</v>
      </c>
      <c r="N23" s="29" t="s">
        <v>20</v>
      </c>
      <c r="O23" s="49" t="s">
        <v>21</v>
      </c>
      <c r="P23" s="29" t="s">
        <v>22</v>
      </c>
      <c r="Q23" s="29" t="s">
        <v>23</v>
      </c>
      <c r="R23" s="49" t="s">
        <v>24</v>
      </c>
      <c r="S23" s="47" t="s">
        <v>25</v>
      </c>
      <c r="T23" s="29" t="s">
        <v>47</v>
      </c>
      <c r="U23" s="19"/>
      <c r="V23" s="19"/>
      <c r="W23" s="19"/>
      <c r="X23" s="19"/>
      <c r="Y23" s="19"/>
      <c r="Z23" s="19"/>
    </row>
    <row r="24" spans="1:26" x14ac:dyDescent="0.25">
      <c r="A24" s="1" t="s">
        <v>8</v>
      </c>
      <c r="B24" s="28">
        <f>SUMIF('RETURNEE DATASET'!B:B,A24,'RETURNEE DATASET'!J:J)</f>
        <v>91033</v>
      </c>
      <c r="C24" s="28">
        <f>SUMIF('RETURNEE DATASET'!B:B,A24,'RETURNEE DATASET'!K:K)</f>
        <v>845</v>
      </c>
      <c r="D24" s="28">
        <f>SUMIF('RETURNEE DATASET'!B:B,A24,'RETURNEE DATASET'!L:L)</f>
        <v>35451</v>
      </c>
      <c r="E24" s="28">
        <f>SUMIF('RETURNEE DATASET'!B:B,A24,'RETURNEE DATASET'!M:M)</f>
        <v>0</v>
      </c>
      <c r="F24" s="28">
        <f>SUMIF('RETURNEE DATASET'!B:B,A24,'RETURNEE DATASET'!N:N)</f>
        <v>149</v>
      </c>
      <c r="G24" s="28">
        <f>SUMIF('RETURNEE DATASET'!B:B,A24,'RETURNEE DATASET'!O:O)</f>
        <v>0</v>
      </c>
      <c r="H24" s="28">
        <f>SUMIF('RETURNEE DATASET'!B:B,A24,'RETURNEE DATASET'!P:P)</f>
        <v>18966</v>
      </c>
      <c r="I24" s="28">
        <f>SUMIF('RETURNEE DATASET'!B:B,A24,'RETURNEE DATASET'!Q:Q)</f>
        <v>0</v>
      </c>
      <c r="J24" s="28">
        <f>SUMIF('RETURNEE DATASET'!B:B,A24,'RETURNEE DATASET'!R:R)</f>
        <v>15392</v>
      </c>
      <c r="K24" s="28">
        <f>SUMIF('RETURNEE DATASET'!B:B,A24,'RETURNEE DATASET'!S:S)</f>
        <v>0</v>
      </c>
      <c r="L24" s="28">
        <f>SUMIF('RETURNEE DATASET'!B:B,A24,'RETURNEE DATASET'!T:T)</f>
        <v>0</v>
      </c>
      <c r="M24" s="28">
        <f>SUMIF('RETURNEE DATASET'!B:B,A24,'RETURNEE DATASET'!U:U)</f>
        <v>0</v>
      </c>
      <c r="N24" s="28">
        <f>SUMIF('RETURNEE DATASET'!B:B,A24,'RETURNEE DATASET'!V:V)</f>
        <v>0</v>
      </c>
      <c r="O24" s="28">
        <f>SUMIF('RETURNEE DATASET'!B:B,A24,'RETURNEE DATASET'!W:W)</f>
        <v>0</v>
      </c>
      <c r="P24" s="28">
        <f>SUMIF('RETURNEE DATASET'!B:B,A24,'RETURNEE DATASET'!X:X)</f>
        <v>458</v>
      </c>
      <c r="Q24" s="28">
        <f>SUMIF('RETURNEE DATASET'!B:B,A24,'RETURNEE DATASET'!Y:Y)</f>
        <v>8321</v>
      </c>
      <c r="R24" s="28">
        <f>SUMIF('RETURNEE DATASET'!B:B,A24,'RETURNEE DATASET'!Z:Z)</f>
        <v>0</v>
      </c>
      <c r="S24" s="28">
        <f>SUMIF('RETURNEE DATASET'!B:B,A24,'RETURNEE DATASET'!AA:AA)</f>
        <v>0</v>
      </c>
      <c r="T24" s="28">
        <f t="shared" ref="T24:T30" si="4">SUM(B24:S24)</f>
        <v>170615</v>
      </c>
    </row>
    <row r="25" spans="1:26" s="19" customFormat="1" x14ac:dyDescent="0.25">
      <c r="A25" s="40" t="s">
        <v>10</v>
      </c>
      <c r="B25" s="28">
        <f>SUMIF('RETURNEE DATASET'!B:B,A25,'RETURNEE DATASET'!J:J)</f>
        <v>0</v>
      </c>
      <c r="C25" s="28">
        <f>SUMIF('RETURNEE DATASET'!B:B,A25,'RETURNEE DATASET'!K:K)</f>
        <v>192</v>
      </c>
      <c r="D25" s="28">
        <f>SUMIF('RETURNEE DATASET'!B:B,A25,'RETURNEE DATASET'!L:L)</f>
        <v>5795</v>
      </c>
      <c r="E25" s="28">
        <f>SUMIF('RETURNEE DATASET'!B:B,A25,'RETURNEE DATASET'!M:M)</f>
        <v>0</v>
      </c>
      <c r="F25" s="28">
        <f>SUMIF('RETURNEE DATASET'!B:B,A25,'RETURNEE DATASET'!N:N)</f>
        <v>0</v>
      </c>
      <c r="G25" s="28">
        <f>SUMIF('RETURNEE DATASET'!B:B,A25,'RETURNEE DATASET'!O:O)</f>
        <v>0</v>
      </c>
      <c r="H25" s="28">
        <f>SUMIF('RETURNEE DATASET'!B:B,A25,'RETURNEE DATASET'!P:P)</f>
        <v>350</v>
      </c>
      <c r="I25" s="28">
        <f>SUMIF('RETURNEE DATASET'!B:B,A25,'RETURNEE DATASET'!Q:Q)</f>
        <v>8</v>
      </c>
      <c r="J25" s="28">
        <f>SUMIF('RETURNEE DATASET'!B:B,A25,'RETURNEE DATASET'!R:R)</f>
        <v>0</v>
      </c>
      <c r="K25" s="28">
        <f>SUMIF('RETURNEE DATASET'!B:B,A25,'RETURNEE DATASET'!S:S)</f>
        <v>20</v>
      </c>
      <c r="L25" s="28">
        <f>SUMIF('RETURNEE DATASET'!B:B,A25,'RETURNEE DATASET'!T:T)</f>
        <v>0</v>
      </c>
      <c r="M25" s="28">
        <f>SUMIF('RETURNEE DATASET'!B:B,A25,'RETURNEE DATASET'!U:U)</f>
        <v>0</v>
      </c>
      <c r="N25" s="28">
        <f>SUMIF('RETURNEE DATASET'!B:B,A25,'RETURNEE DATASET'!V:V)</f>
        <v>0</v>
      </c>
      <c r="O25" s="28">
        <f>SUMIF('RETURNEE DATASET'!B:B,A25,'RETURNEE DATASET'!W:W)</f>
        <v>0</v>
      </c>
      <c r="P25" s="28">
        <f>SUMIF('RETURNEE DATASET'!B:B,A25,'RETURNEE DATASET'!X:X)</f>
        <v>0</v>
      </c>
      <c r="Q25" s="28">
        <f>SUMIF('RETURNEE DATASET'!B:B,A25,'RETURNEE DATASET'!Y:Y)</f>
        <v>76</v>
      </c>
      <c r="R25" s="28">
        <f>SUMIF('RETURNEE DATASET'!B:B,A25,'RETURNEE DATASET'!Z:Z)</f>
        <v>0</v>
      </c>
      <c r="S25" s="28">
        <f>SUMIF('RETURNEE DATASET'!B:B,A25,'RETURNEE DATASET'!AA:AA)</f>
        <v>0</v>
      </c>
      <c r="T25" s="28">
        <f t="shared" si="4"/>
        <v>6441</v>
      </c>
    </row>
    <row r="26" spans="1:26" x14ac:dyDescent="0.25">
      <c r="A26" s="1" t="s">
        <v>13</v>
      </c>
      <c r="B26" s="2">
        <f>SUMIF('RETURNEE DATASET'!B:B,A26,'RETURNEE DATASET'!J:J)</f>
        <v>55</v>
      </c>
      <c r="C26" s="2">
        <f>SUMIF('RETURNEE DATASET'!B:B,A26,'RETURNEE DATASET'!K:K)</f>
        <v>0</v>
      </c>
      <c r="D26" s="2">
        <f>SUMIF('RETURNEE DATASET'!B:B,A26,'RETURNEE DATASET'!L:L)</f>
        <v>176</v>
      </c>
      <c r="E26" s="28">
        <f>SUMIF('RETURNEE DATASET'!B:B,A26,'RETURNEE DATASET'!M:M)</f>
        <v>0</v>
      </c>
      <c r="F26" s="2">
        <f>SUMIF('RETURNEE DATASET'!B:B,A26,'RETURNEE DATASET'!N:N)</f>
        <v>0</v>
      </c>
      <c r="G26" s="2">
        <f>SUMIF('RETURNEE DATASET'!B:B,A26,'RETURNEE DATASET'!O:O)</f>
        <v>26739</v>
      </c>
      <c r="H26" s="2">
        <f>SUMIF('RETURNEE DATASET'!B:B,A26,'RETURNEE DATASET'!P:P)</f>
        <v>78</v>
      </c>
      <c r="I26" s="2">
        <f>SUMIF('RETURNEE DATASET'!B:B,A26,'RETURNEE DATASET'!Q:Q)</f>
        <v>0</v>
      </c>
      <c r="J26" s="2">
        <f>SUMIF('RETURNEE DATASET'!B:B,A26,'RETURNEE DATASET'!R:R)</f>
        <v>3997</v>
      </c>
      <c r="K26" s="28">
        <f>SUMIF('RETURNEE DATASET'!B:B,A26,'RETURNEE DATASET'!S:S)</f>
        <v>0</v>
      </c>
      <c r="L26" s="28">
        <f>SUMIF('RETURNEE DATASET'!B:B,A26,'RETURNEE DATASET'!T:T)</f>
        <v>0</v>
      </c>
      <c r="M26" s="2">
        <f>SUMIF('RETURNEE DATASET'!B:B,A26,'RETURNEE DATASET'!U:U)</f>
        <v>0</v>
      </c>
      <c r="N26" s="2">
        <f>SUMIF('RETURNEE DATASET'!B:B,A26,'RETURNEE DATASET'!V:V)</f>
        <v>0</v>
      </c>
      <c r="O26" s="28">
        <f>SUMIF('RETURNEE DATASET'!B:B,A26,'RETURNEE DATASET'!W:W)</f>
        <v>0</v>
      </c>
      <c r="P26" s="2">
        <f>SUMIF('RETURNEE DATASET'!B:B,A26,'RETURNEE DATASET'!X:X)</f>
        <v>0</v>
      </c>
      <c r="Q26" s="2">
        <f>SUMIF('RETURNEE DATASET'!B:B,A26,'RETURNEE DATASET'!Y:Y)</f>
        <v>3069</v>
      </c>
      <c r="R26" s="28">
        <f>SUMIF('RETURNEE DATASET'!B:B,A26,'RETURNEE DATASET'!Z:Z)</f>
        <v>0</v>
      </c>
      <c r="S26" s="28">
        <f>SUMIF('RETURNEE DATASET'!B:B,A26,'RETURNEE DATASET'!AA:AA)</f>
        <v>0</v>
      </c>
      <c r="T26" s="2">
        <f t="shared" si="4"/>
        <v>34114</v>
      </c>
    </row>
    <row r="27" spans="1:26" x14ac:dyDescent="0.25">
      <c r="A27" s="1" t="s">
        <v>14</v>
      </c>
      <c r="B27" s="2">
        <f>SUMIF('RETURNEE DATASET'!B:B,A27,'RETURNEE DATASET'!J:J)</f>
        <v>0</v>
      </c>
      <c r="C27" s="2">
        <f>SUMIF('RETURNEE DATASET'!B:B,A27,'RETURNEE DATASET'!K:K)</f>
        <v>0</v>
      </c>
      <c r="D27" s="2">
        <f>SUMIF('RETURNEE DATASET'!B:B,A27,'RETURNEE DATASET'!L:L)</f>
        <v>0</v>
      </c>
      <c r="E27" s="28">
        <f>SUMIF('RETURNEE DATASET'!B:B,A27,'RETURNEE DATASET'!M:M)</f>
        <v>0</v>
      </c>
      <c r="F27" s="2">
        <f>SUMIF('RETURNEE DATASET'!B:B,A27,'RETURNEE DATASET'!N:N)</f>
        <v>0</v>
      </c>
      <c r="G27" s="2">
        <f>SUMIF('RETURNEE DATASET'!B:B,A27,'RETURNEE DATASET'!O:O)</f>
        <v>0</v>
      </c>
      <c r="H27" s="2">
        <f>SUMIF('RETURNEE DATASET'!B:B,A27,'RETURNEE DATASET'!P:P)</f>
        <v>5713</v>
      </c>
      <c r="I27" s="2">
        <f>SUMIF('RETURNEE DATASET'!B:B,A27,'RETURNEE DATASET'!Q:Q)</f>
        <v>0</v>
      </c>
      <c r="J27" s="2">
        <f>SUMIF('RETURNEE DATASET'!B:B,A27,'RETURNEE DATASET'!R:R)</f>
        <v>0</v>
      </c>
      <c r="K27" s="28">
        <f>SUMIF('RETURNEE DATASET'!B:B,A27,'RETURNEE DATASET'!S:S)</f>
        <v>0</v>
      </c>
      <c r="L27" s="28">
        <f>SUMIF('RETURNEE DATASET'!B:B,A27,'RETURNEE DATASET'!T:T)</f>
        <v>0</v>
      </c>
      <c r="M27" s="2">
        <f>SUMIF('RETURNEE DATASET'!B:B,A27,'RETURNEE DATASET'!U:U)</f>
        <v>0</v>
      </c>
      <c r="N27" s="2">
        <f>SUMIF('RETURNEE DATASET'!B:B,A27,'RETURNEE DATASET'!V:V)</f>
        <v>0</v>
      </c>
      <c r="O27" s="28">
        <f>SUMIF('RETURNEE DATASET'!B:B,A27,'RETURNEE DATASET'!W:W)</f>
        <v>0</v>
      </c>
      <c r="P27" s="2">
        <f>SUMIF('RETURNEE DATASET'!B:B,A27,'RETURNEE DATASET'!X:X)</f>
        <v>0</v>
      </c>
      <c r="Q27" s="2">
        <f>SUMIF('RETURNEE DATASET'!B:B,A27,'RETURNEE DATASET'!Y:Y)</f>
        <v>0</v>
      </c>
      <c r="R27" s="28">
        <f>SUMIF('RETURNEE DATASET'!B:B,A27,'RETURNEE DATASET'!Z:Z)</f>
        <v>0</v>
      </c>
      <c r="S27" s="28">
        <f>SUMIF('RETURNEE DATASET'!B:B,A27,'RETURNEE DATASET'!AA:AA)</f>
        <v>0</v>
      </c>
      <c r="T27" s="2">
        <f t="shared" si="4"/>
        <v>5713</v>
      </c>
    </row>
    <row r="28" spans="1:26" x14ac:dyDescent="0.25">
      <c r="A28" s="1" t="s">
        <v>16</v>
      </c>
      <c r="B28" s="2">
        <f>SUMIF('RETURNEE DATASET'!B:B,A28,'RETURNEE DATASET'!J:J)</f>
        <v>0</v>
      </c>
      <c r="C28" s="2">
        <f>SUMIF('RETURNEE DATASET'!B:B,A28,'RETURNEE DATASET'!K:K)</f>
        <v>0</v>
      </c>
      <c r="D28" s="2">
        <f>SUMIF('RETURNEE DATASET'!B:B,A28,'RETURNEE DATASET'!L:L)</f>
        <v>0</v>
      </c>
      <c r="E28" s="28">
        <f>SUMIF('RETURNEE DATASET'!B:B,A28,'RETURNEE DATASET'!M:M)</f>
        <v>0</v>
      </c>
      <c r="F28" s="2">
        <f>SUMIF('RETURNEE DATASET'!B:B,A28,'RETURNEE DATASET'!N:N)</f>
        <v>0</v>
      </c>
      <c r="G28" s="2">
        <f>SUMIF('RETURNEE DATASET'!B:B,A28,'RETURNEE DATASET'!O:O)</f>
        <v>0</v>
      </c>
      <c r="H28" s="2">
        <f>SUMIF('RETURNEE DATASET'!B:B,A28,'RETURNEE DATASET'!P:P)</f>
        <v>0</v>
      </c>
      <c r="I28" s="2">
        <f>SUMIF('RETURNEE DATASET'!B:B,A28,'RETURNEE DATASET'!Q:Q)</f>
        <v>0</v>
      </c>
      <c r="J28" s="2">
        <f>SUMIF('RETURNEE DATASET'!B:B,A28,'RETURNEE DATASET'!R:R)</f>
        <v>579</v>
      </c>
      <c r="K28" s="28">
        <f>SUMIF('RETURNEE DATASET'!B:B,A28,'RETURNEE DATASET'!S:S)</f>
        <v>0</v>
      </c>
      <c r="L28" s="28">
        <f>SUMIF('RETURNEE DATASET'!B:B,A28,'RETURNEE DATASET'!T:T)</f>
        <v>0</v>
      </c>
      <c r="M28" s="2">
        <f>SUMIF('RETURNEE DATASET'!B:B,A28,'RETURNEE DATASET'!U:U)</f>
        <v>0</v>
      </c>
      <c r="N28" s="2">
        <f>SUMIF('RETURNEE DATASET'!B:B,A28,'RETURNEE DATASET'!V:V)</f>
        <v>0</v>
      </c>
      <c r="O28" s="28">
        <f>SUMIF('RETURNEE DATASET'!B:B,A28,'RETURNEE DATASET'!W:W)</f>
        <v>0</v>
      </c>
      <c r="P28" s="2">
        <f>SUMIF('RETURNEE DATASET'!B:B,A28,'RETURNEE DATASET'!X:X)</f>
        <v>0</v>
      </c>
      <c r="Q28" s="2">
        <f>SUMIF('RETURNEE DATASET'!B:B,A28,'RETURNEE DATASET'!Y:Y)</f>
        <v>0</v>
      </c>
      <c r="R28" s="28">
        <f>SUMIF('RETURNEE DATASET'!B:B,A28,'RETURNEE DATASET'!Z:Z)</f>
        <v>0</v>
      </c>
      <c r="S28" s="28">
        <f>SUMIF('RETURNEE DATASET'!B:B,A28,'RETURNEE DATASET'!AA:AA)</f>
        <v>0</v>
      </c>
      <c r="T28" s="2">
        <f t="shared" si="4"/>
        <v>579</v>
      </c>
    </row>
    <row r="29" spans="1:26" x14ac:dyDescent="0.25">
      <c r="A29" s="1" t="s">
        <v>20</v>
      </c>
      <c r="B29" s="2">
        <f>SUMIF('RETURNEE DATASET'!B:B,A29,'RETURNEE DATASET'!J:J)</f>
        <v>10</v>
      </c>
      <c r="C29" s="2">
        <f>SUMIF('RETURNEE DATASET'!B:B,A29,'RETURNEE DATASET'!K:K)</f>
        <v>185</v>
      </c>
      <c r="D29" s="2">
        <f>SUMIF('RETURNEE DATASET'!B:B,A29,'RETURNEE DATASET'!L:L)</f>
        <v>290</v>
      </c>
      <c r="E29" s="28">
        <f>SUMIF('RETURNEE DATASET'!B:B,A29,'RETURNEE DATASET'!M:M)</f>
        <v>44</v>
      </c>
      <c r="F29" s="2">
        <f>SUMIF('RETURNEE DATASET'!B:B,A29,'RETURNEE DATASET'!N:N)</f>
        <v>17511</v>
      </c>
      <c r="G29" s="2">
        <f>SUMIF('RETURNEE DATASET'!B:B,A29,'RETURNEE DATASET'!O:O)</f>
        <v>44</v>
      </c>
      <c r="H29" s="2">
        <f>SUMIF('RETURNEE DATASET'!B:B,A29,'RETURNEE DATASET'!P:P)</f>
        <v>7600</v>
      </c>
      <c r="I29" s="2">
        <f>SUMIF('RETURNEE DATASET'!B:B,A29,'RETURNEE DATASET'!Q:Q)</f>
        <v>252</v>
      </c>
      <c r="J29" s="2">
        <f>SUMIF('RETURNEE DATASET'!B:B,A29,'RETURNEE DATASET'!R:R)</f>
        <v>719</v>
      </c>
      <c r="K29" s="28">
        <f>SUMIF('RETURNEE DATASET'!B:B,A29,'RETURNEE DATASET'!S:S)</f>
        <v>34</v>
      </c>
      <c r="L29" s="28">
        <f>SUMIF('RETURNEE DATASET'!B:B,A29,'RETURNEE DATASET'!T:T)</f>
        <v>86</v>
      </c>
      <c r="M29" s="2">
        <f>SUMIF('RETURNEE DATASET'!B:B,A29,'RETURNEE DATASET'!U:U)</f>
        <v>338</v>
      </c>
      <c r="N29" s="2">
        <f>SUMIF('RETURNEE DATASET'!B:B,A29,'RETURNEE DATASET'!V:V)</f>
        <v>34305</v>
      </c>
      <c r="O29" s="28">
        <f>SUMIF('RETURNEE DATASET'!B:B,A29,'RETURNEE DATASET'!W:W)</f>
        <v>175</v>
      </c>
      <c r="P29" s="2">
        <f>SUMIF('RETURNEE DATASET'!B:B,A29,'RETURNEE DATASET'!X:X)</f>
        <v>416</v>
      </c>
      <c r="Q29" s="2">
        <f>SUMIF('RETURNEE DATASET'!B:B,A29,'RETURNEE DATASET'!Y:Y)</f>
        <v>95</v>
      </c>
      <c r="R29" s="28">
        <f>SUMIF('RETURNEE DATASET'!B:B,A29,'RETURNEE DATASET'!Z:Z)</f>
        <v>101</v>
      </c>
      <c r="S29" s="28">
        <f>SUMIF('RETURNEE DATASET'!B:B,A29,'RETURNEE DATASET'!AA:AA)</f>
        <v>434</v>
      </c>
      <c r="T29" s="2">
        <f t="shared" si="4"/>
        <v>62639</v>
      </c>
    </row>
    <row r="30" spans="1:26" s="15" customFormat="1" x14ac:dyDescent="0.25">
      <c r="A30" s="16" t="s">
        <v>22</v>
      </c>
      <c r="B30" s="2">
        <f>SUMIF('RETURNEE DATASET'!B:B,A30,'RETURNEE DATASET'!J:J)</f>
        <v>0</v>
      </c>
      <c r="C30" s="2">
        <f>SUMIF('RETURNEE DATASET'!B:B,A30,'RETURNEE DATASET'!K:K)</f>
        <v>0</v>
      </c>
      <c r="D30" s="2">
        <f>SUMIF('RETURNEE DATASET'!B:B,A30,'RETURNEE DATASET'!L:L)</f>
        <v>3774</v>
      </c>
      <c r="E30" s="28">
        <f>SUMIF('RETURNEE DATASET'!B:B,A30,'RETURNEE DATASET'!M:M)</f>
        <v>115</v>
      </c>
      <c r="F30" s="2">
        <f>SUMIF('RETURNEE DATASET'!B:B,A30,'RETURNEE DATASET'!N:N)</f>
        <v>389</v>
      </c>
      <c r="G30" s="2">
        <f>SUMIF('RETURNEE DATASET'!B:B,A30,'RETURNEE DATASET'!O:O)</f>
        <v>2</v>
      </c>
      <c r="H30" s="2">
        <f>SUMIF('RETURNEE DATASET'!B:B,A30,'RETURNEE DATASET'!P:P)</f>
        <v>10755</v>
      </c>
      <c r="I30" s="2">
        <f>SUMIF('RETURNEE DATASET'!B:B,A30,'RETURNEE DATASET'!Q:Q)</f>
        <v>247</v>
      </c>
      <c r="J30" s="2">
        <f>SUMIF('RETURNEE DATASET'!B:B,A30,'RETURNEE DATASET'!R:R)</f>
        <v>21714</v>
      </c>
      <c r="K30" s="28">
        <f>SUMIF('RETURNEE DATASET'!B:B,A30,'RETURNEE DATASET'!S:S)</f>
        <v>30</v>
      </c>
      <c r="L30" s="28">
        <f>SUMIF('RETURNEE DATASET'!B:B,A30,'RETURNEE DATASET'!T:T)</f>
        <v>0</v>
      </c>
      <c r="M30" s="2">
        <f>SUMIF('RETURNEE DATASET'!B:B,A30,'RETURNEE DATASET'!U:U)</f>
        <v>157</v>
      </c>
      <c r="N30" s="2">
        <f>SUMIF('RETURNEE DATASET'!B:B,A30,'RETURNEE DATASET'!V:V)</f>
        <v>83</v>
      </c>
      <c r="O30" s="28">
        <f>SUMIF('RETURNEE DATASET'!B:B,A30,'RETURNEE DATASET'!W:W)</f>
        <v>0</v>
      </c>
      <c r="P30" s="2">
        <f>SUMIF('RETURNEE DATASET'!B:B,A30,'RETURNEE DATASET'!X:X)</f>
        <v>25131</v>
      </c>
      <c r="Q30" s="2">
        <f>SUMIF('RETURNEE DATASET'!B:B,A30,'RETURNEE DATASET'!Y:Y)</f>
        <v>2830</v>
      </c>
      <c r="R30" s="28">
        <f>SUMIF('RETURNEE DATASET'!B:B,A30,'RETURNEE DATASET'!Z:Z)</f>
        <v>0</v>
      </c>
      <c r="S30" s="28">
        <f>SUMIF('RETURNEE DATASET'!B:B,A30,'RETURNEE DATASET'!AA:AA)</f>
        <v>2</v>
      </c>
      <c r="T30" s="2">
        <f t="shared" si="4"/>
        <v>65229</v>
      </c>
    </row>
    <row r="31" spans="1:26" x14ac:dyDescent="0.25">
      <c r="A31" s="6" t="s">
        <v>48</v>
      </c>
      <c r="B31" s="7">
        <f>SUM(B24:B30)</f>
        <v>91098</v>
      </c>
      <c r="C31" s="7">
        <f t="shared" ref="C31:S31" si="5">SUM(C24:C30)</f>
        <v>1222</v>
      </c>
      <c r="D31" s="7">
        <f t="shared" si="5"/>
        <v>45486</v>
      </c>
      <c r="E31" s="7">
        <f t="shared" si="5"/>
        <v>159</v>
      </c>
      <c r="F31" s="7">
        <f t="shared" si="5"/>
        <v>18049</v>
      </c>
      <c r="G31" s="7">
        <f t="shared" si="5"/>
        <v>26785</v>
      </c>
      <c r="H31" s="7">
        <f t="shared" si="5"/>
        <v>43462</v>
      </c>
      <c r="I31" s="7">
        <f t="shared" si="5"/>
        <v>507</v>
      </c>
      <c r="J31" s="7">
        <f t="shared" si="5"/>
        <v>42401</v>
      </c>
      <c r="K31" s="7">
        <f t="shared" si="5"/>
        <v>84</v>
      </c>
      <c r="L31" s="7">
        <f>SUM(L24:L30)</f>
        <v>86</v>
      </c>
      <c r="M31" s="7">
        <f t="shared" si="5"/>
        <v>495</v>
      </c>
      <c r="N31" s="7">
        <f t="shared" si="5"/>
        <v>34388</v>
      </c>
      <c r="O31" s="7">
        <f t="shared" si="5"/>
        <v>175</v>
      </c>
      <c r="P31" s="7">
        <f t="shared" si="5"/>
        <v>26005</v>
      </c>
      <c r="Q31" s="7">
        <f t="shared" si="5"/>
        <v>14391</v>
      </c>
      <c r="R31" s="7">
        <f t="shared" si="5"/>
        <v>101</v>
      </c>
      <c r="S31" s="7">
        <f t="shared" si="5"/>
        <v>436</v>
      </c>
      <c r="T31" s="7">
        <f>SUM(T24:T30)</f>
        <v>345330</v>
      </c>
    </row>
    <row r="32" spans="1:26" ht="18" customHeight="1" x14ac:dyDescent="0.25"/>
    <row r="33" spans="1:18" ht="15" customHeight="1" x14ac:dyDescent="0.25">
      <c r="A33" s="26" t="s">
        <v>0</v>
      </c>
      <c r="B33" s="56" t="s">
        <v>3</v>
      </c>
      <c r="C33" s="56"/>
      <c r="D33" s="56"/>
      <c r="E33" s="56"/>
      <c r="F33" s="56"/>
      <c r="G33" s="56"/>
    </row>
    <row r="34" spans="1:18" ht="25.5" x14ac:dyDescent="0.25">
      <c r="A34" s="27" t="s">
        <v>46</v>
      </c>
      <c r="B34" s="29" t="s">
        <v>50</v>
      </c>
      <c r="C34" s="29" t="s">
        <v>51</v>
      </c>
      <c r="D34" s="29" t="s">
        <v>52</v>
      </c>
      <c r="E34" s="29" t="s">
        <v>53</v>
      </c>
      <c r="F34" s="29" t="s">
        <v>54</v>
      </c>
      <c r="G34" s="42" t="s">
        <v>73</v>
      </c>
      <c r="H34" s="43" t="s">
        <v>74</v>
      </c>
      <c r="I34" s="29" t="s">
        <v>47</v>
      </c>
    </row>
    <row r="35" spans="1:18" x14ac:dyDescent="0.25">
      <c r="A35" s="1" t="s">
        <v>8</v>
      </c>
      <c r="B35" s="28">
        <f>SUMIF('RETURNEE DATASET'!B:B,A35,'RETURNEE DATASET'!AM:AM)</f>
        <v>48338</v>
      </c>
      <c r="C35" s="28">
        <f>SUMIF('RETURNEE DATASET'!B:B,A35,'RETURNEE DATASET'!AN:AN)</f>
        <v>14602</v>
      </c>
      <c r="D35" s="28">
        <f>SUMIF('RETURNEE DATASET'!B:B,A35,'RETURNEE DATASET'!AO:AO)</f>
        <v>0</v>
      </c>
      <c r="E35" s="28">
        <f>SUMIF('RETURNEE DATASET'!B:B,A35,'RETURNEE DATASET'!AP:AP)</f>
        <v>35196</v>
      </c>
      <c r="F35" s="28">
        <f>SUMIF('RETURNEE DATASET'!B:B,A35,'RETURNEE DATASET'!AQ:AQ)</f>
        <v>50039</v>
      </c>
      <c r="G35" s="28">
        <f>SUMIF('RETURNEE DATASET'!B:B,A35,'RETURNEE DATASET'!AR:AR)</f>
        <v>22440</v>
      </c>
      <c r="H35" s="28">
        <f>SUMIF('RETURNEE DATASET'!B:B,A35,'RETURNEE DATASET'!AS:AS)</f>
        <v>0</v>
      </c>
      <c r="I35" s="28">
        <f t="shared" ref="I35:I41" si="6">SUM(B35:H35)</f>
        <v>170615</v>
      </c>
    </row>
    <row r="36" spans="1:18" s="19" customFormat="1" x14ac:dyDescent="0.25">
      <c r="A36" s="40" t="s">
        <v>10</v>
      </c>
      <c r="B36" s="28">
        <f>SUMIF('RETURNEE DATASET'!B:B,A36,'RETURNEE DATASET'!AM:AM)</f>
        <v>127</v>
      </c>
      <c r="C36" s="28">
        <f>SUMIF('RETURNEE DATASET'!B:B,A36,'RETURNEE DATASET'!AN:AN)</f>
        <v>78</v>
      </c>
      <c r="D36" s="28">
        <f>SUMIF('RETURNEE DATASET'!B:B,A36,'RETURNEE DATASET'!AO:AO)</f>
        <v>2014</v>
      </c>
      <c r="E36" s="28">
        <f>SUMIF('RETURNEE DATASET'!B:B,A36,'RETURNEE DATASET'!AP:AP)</f>
        <v>4222</v>
      </c>
      <c r="F36" s="28">
        <f>SUMIF('RETURNEE DATASET'!B:B,A36,'RETURNEE DATASET'!AQ:AQ)</f>
        <v>0</v>
      </c>
      <c r="G36" s="28">
        <f>SUMIF('RETURNEE DATASET'!B:B,A36,'RETURNEE DATASET'!AR:AR)</f>
        <v>0</v>
      </c>
      <c r="H36" s="28">
        <f>SUMIF('RETURNEE DATASET'!B:B,A36,'RETURNEE DATASET'!AS:AS)</f>
        <v>0</v>
      </c>
      <c r="I36" s="28">
        <f t="shared" si="6"/>
        <v>6441</v>
      </c>
    </row>
    <row r="37" spans="1:18" x14ac:dyDescent="0.25">
      <c r="A37" s="1" t="s">
        <v>13</v>
      </c>
      <c r="B37" s="2">
        <f>SUMIF('RETURNEE DATASET'!B:B,A37,'RETURNEE DATASET'!AM:AM)</f>
        <v>0</v>
      </c>
      <c r="C37" s="2">
        <f>SUMIF('RETURNEE DATASET'!B:B,A37,'RETURNEE DATASET'!AN:AN)</f>
        <v>18060</v>
      </c>
      <c r="D37" s="2">
        <f>SUMIF('RETURNEE DATASET'!B:B,A37,'RETURNEE DATASET'!AO:AO)</f>
        <v>5551</v>
      </c>
      <c r="E37" s="2">
        <f>SUMIF('RETURNEE DATASET'!B:B,A37,'RETURNEE DATASET'!AP:AP)</f>
        <v>10503</v>
      </c>
      <c r="F37" s="2">
        <f>SUMIF('RETURNEE DATASET'!B:B,A37,'RETURNEE DATASET'!AQ:AQ)</f>
        <v>0</v>
      </c>
      <c r="G37" s="28">
        <f>SUMIF('RETURNEE DATASET'!B:B,A37,'RETURNEE DATASET'!AR:AR)</f>
        <v>0</v>
      </c>
      <c r="H37" s="28">
        <f>SUMIF('RETURNEE DATASET'!B:B,A37,'RETURNEE DATASET'!AS:AS)</f>
        <v>0</v>
      </c>
      <c r="I37" s="28">
        <f t="shared" si="6"/>
        <v>34114</v>
      </c>
    </row>
    <row r="38" spans="1:18" x14ac:dyDescent="0.25">
      <c r="A38" s="1" t="s">
        <v>14</v>
      </c>
      <c r="B38" s="2">
        <f>SUMIF('RETURNEE DATASET'!B:B,A38,'RETURNEE DATASET'!AM:AM)</f>
        <v>0</v>
      </c>
      <c r="C38" s="2">
        <f>SUMIF('RETURNEE DATASET'!B:B,A38,'RETURNEE DATASET'!AN:AN)</f>
        <v>1168</v>
      </c>
      <c r="D38" s="2">
        <f>SUMIF('RETURNEE DATASET'!B:B,A38,'RETURNEE DATASET'!AO:AO)</f>
        <v>4545</v>
      </c>
      <c r="E38" s="2">
        <f>SUMIF('RETURNEE DATASET'!B:B,A38,'RETURNEE DATASET'!AP:AP)</f>
        <v>0</v>
      </c>
      <c r="F38" s="2">
        <f>SUMIF('RETURNEE DATASET'!B:B,A38,'RETURNEE DATASET'!AQ:AQ)</f>
        <v>0</v>
      </c>
      <c r="G38" s="28">
        <f>SUMIF('RETURNEE DATASET'!B:B,A38,'RETURNEE DATASET'!AR:AR)</f>
        <v>0</v>
      </c>
      <c r="H38" s="28">
        <f>SUMIF('RETURNEE DATASET'!B:B,A38,'RETURNEE DATASET'!AS:AS)</f>
        <v>0</v>
      </c>
      <c r="I38" s="28">
        <f t="shared" si="6"/>
        <v>5713</v>
      </c>
    </row>
    <row r="39" spans="1:18" x14ac:dyDescent="0.25">
      <c r="A39" s="1" t="s">
        <v>16</v>
      </c>
      <c r="B39" s="2">
        <f>SUMIF('RETURNEE DATASET'!B:B,A39,'RETURNEE DATASET'!AM:AM)</f>
        <v>0</v>
      </c>
      <c r="C39" s="2">
        <f>SUMIF('RETURNEE DATASET'!B:B,A39,'RETURNEE DATASET'!AN:AN)</f>
        <v>85</v>
      </c>
      <c r="D39" s="2">
        <f>SUMIF('RETURNEE DATASET'!B:B,A39,'RETURNEE DATASET'!AO:AO)</f>
        <v>0</v>
      </c>
      <c r="E39" s="2">
        <f>SUMIF('RETURNEE DATASET'!B:B,A39,'RETURNEE DATASET'!AP:AP)</f>
        <v>494</v>
      </c>
      <c r="F39" s="2">
        <f>SUMIF('RETURNEE DATASET'!B:B,A39,'RETURNEE DATASET'!AQ:AQ)</f>
        <v>0</v>
      </c>
      <c r="G39" s="28">
        <f>SUMIF('RETURNEE DATASET'!B:B,A39,'RETURNEE DATASET'!AR:AR)</f>
        <v>0</v>
      </c>
      <c r="H39" s="28">
        <f>SUMIF('RETURNEE DATASET'!B:B,A39,'RETURNEE DATASET'!AS:AS)</f>
        <v>0</v>
      </c>
      <c r="I39" s="28">
        <f t="shared" si="6"/>
        <v>579</v>
      </c>
    </row>
    <row r="40" spans="1:18" x14ac:dyDescent="0.25">
      <c r="A40" s="1" t="s">
        <v>20</v>
      </c>
      <c r="B40" s="2">
        <f>SUMIF('RETURNEE DATASET'!B:B,A40,'RETURNEE DATASET'!AM:AM)</f>
        <v>0</v>
      </c>
      <c r="C40" s="2">
        <f>SUMIF('RETURNEE DATASET'!B:B,A40,'RETURNEE DATASET'!AN:AN)</f>
        <v>0</v>
      </c>
      <c r="D40" s="2">
        <f>SUMIF('RETURNEE DATASET'!B:B,A40,'RETURNEE DATASET'!AO:AO)</f>
        <v>36243</v>
      </c>
      <c r="E40" s="2">
        <f>SUMIF('RETURNEE DATASET'!B:B,A40,'RETURNEE DATASET'!AP:AP)</f>
        <v>506</v>
      </c>
      <c r="F40" s="2">
        <f>SUMIF('RETURNEE DATASET'!B:B,A40,'RETURNEE DATASET'!AQ:AQ)</f>
        <v>730</v>
      </c>
      <c r="G40" s="28">
        <f>SUMIF('RETURNEE DATASET'!B:B,A40,'RETURNEE DATASET'!AR:AR)</f>
        <v>5332</v>
      </c>
      <c r="H40" s="28">
        <f>SUMIF('RETURNEE DATASET'!B:B,A40,'RETURNEE DATASET'!AS:AS)</f>
        <v>19828</v>
      </c>
      <c r="I40" s="28">
        <f t="shared" si="6"/>
        <v>62639</v>
      </c>
    </row>
    <row r="41" spans="1:18" s="15" customFormat="1" x14ac:dyDescent="0.25">
      <c r="A41" s="16" t="s">
        <v>22</v>
      </c>
      <c r="B41" s="2">
        <f>SUMIF('RETURNEE DATASET'!B:B,A41,'RETURNEE DATASET'!AM:AM)</f>
        <v>5161</v>
      </c>
      <c r="C41" s="2">
        <f>SUMIF('RETURNEE DATASET'!B:B,A41,'RETURNEE DATASET'!AN:AN)</f>
        <v>32215</v>
      </c>
      <c r="D41" s="2">
        <f>SUMIF('RETURNEE DATASET'!B:B,A41,'RETURNEE DATASET'!AO:AO)</f>
        <v>13191</v>
      </c>
      <c r="E41" s="2">
        <f>SUMIF('RETURNEE DATASET'!B:B,A41,'RETURNEE DATASET'!AP:AP)</f>
        <v>11256</v>
      </c>
      <c r="F41" s="2">
        <f>SUMIF('RETURNEE DATASET'!B:B,A41,'RETURNEE DATASET'!AQ:AQ)</f>
        <v>770</v>
      </c>
      <c r="G41" s="28">
        <f>SUMIF('RETURNEE DATASET'!B:B,A41,'RETURNEE DATASET'!AR:AR)</f>
        <v>1961</v>
      </c>
      <c r="H41" s="28">
        <f>SUMIF('RETURNEE DATASET'!B:B,A41,'RETURNEE DATASET'!AS:AS)</f>
        <v>675</v>
      </c>
      <c r="I41" s="28">
        <f t="shared" si="6"/>
        <v>65229</v>
      </c>
      <c r="L41" s="19"/>
      <c r="O41" s="19"/>
      <c r="R41" s="19"/>
    </row>
    <row r="42" spans="1:18" x14ac:dyDescent="0.25">
      <c r="A42" s="6" t="s">
        <v>48</v>
      </c>
      <c r="B42" s="7">
        <f>SUM(B35:B41)</f>
        <v>53626</v>
      </c>
      <c r="C42" s="7">
        <f t="shared" ref="C42:F42" si="7">SUM(C35:C41)</f>
        <v>66208</v>
      </c>
      <c r="D42" s="7">
        <f t="shared" si="7"/>
        <v>61544</v>
      </c>
      <c r="E42" s="7">
        <f t="shared" si="7"/>
        <v>62177</v>
      </c>
      <c r="F42" s="7">
        <f t="shared" si="7"/>
        <v>51539</v>
      </c>
      <c r="G42" s="7">
        <f t="shared" ref="G42:H42" si="8">SUM(G35:G41)</f>
        <v>29733</v>
      </c>
      <c r="H42" s="7">
        <f t="shared" si="8"/>
        <v>20503</v>
      </c>
      <c r="I42" s="7">
        <f>SUM(I35:I41)</f>
        <v>345330</v>
      </c>
    </row>
    <row r="43" spans="1:18" ht="18" customHeight="1" x14ac:dyDescent="0.25"/>
  </sheetData>
  <mergeCells count="11">
    <mergeCell ref="B22:S22"/>
    <mergeCell ref="A9:B9"/>
    <mergeCell ref="B11:N11"/>
    <mergeCell ref="B33:G33"/>
    <mergeCell ref="A1:B1"/>
    <mergeCell ref="A3:B3"/>
    <mergeCell ref="A4:B4"/>
    <mergeCell ref="A5:B5"/>
    <mergeCell ref="A6:B6"/>
    <mergeCell ref="A2:B2"/>
    <mergeCell ref="A7:B7"/>
  </mergeCells>
  <pageMargins left="1" right="1" top="1" bottom="1" header="1" footer="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RETURNEE DATASET</vt:lpstr>
      <vt:lpstr>Summary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2017-01-26T10:07:40Z</dcterms:created>
  <dcterms:modified xsi:type="dcterms:W3CDTF">2017-08-02T14:04:58Z</dcterms:modified>
</cp:coreProperties>
</file>