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defaultThemeVersion="166925"/>
  <mc:AlternateContent xmlns:mc="http://schemas.openxmlformats.org/markup-compatibility/2006">
    <mc:Choice Requires="x15">
      <x15ac:absPath xmlns:x15ac="http://schemas.microsoft.com/office/spreadsheetml/2010/11/ac" url="C:\Users\jcarde\Dropbox\Investigación\ODIMTA\SustainabilityAssessment\ExcelBook\"/>
    </mc:Choice>
  </mc:AlternateContent>
  <xr:revisionPtr revIDLastSave="0" documentId="13_ncr:1_{2EF15D28-1A15-41A1-91CB-74EC5A8E78CD}" xr6:coauthVersionLast="47" xr6:coauthVersionMax="47" xr10:uidLastSave="{00000000-0000-0000-0000-000000000000}"/>
  <bookViews>
    <workbookView xWindow="-110" yWindow="-110" windowWidth="38620" windowHeight="21100" tabRatio="594" activeTab="4" xr2:uid="{00000000-000D-0000-FFFF-FFFF00000000}"/>
  </bookViews>
  <sheets>
    <sheet name="0-Instructions" sheetId="14" r:id="rId1"/>
    <sheet name="1-Weights-Alt1-GreenNCAP" sheetId="9" r:id="rId2"/>
    <sheet name="2-Weights-Alt2-Ecoind99" sheetId="10" r:id="rId3"/>
    <sheet name="3-ValueFunctions" sheetId="11" r:id="rId4"/>
    <sheet name="4-Model-Alt1-GreenNCAP" sheetId="12" r:id="rId5"/>
    <sheet name="5-Model-Alt2-Ecoind99" sheetId="13" r:id="rId6"/>
  </sheets>
  <definedNames>
    <definedName name="Waccessheight">'1-Weights-Alt1-GreenNCAP'!$G$17</definedName>
    <definedName name="Wacqcost">'1-Weights-Alt1-GreenNCAP'!$E$6</definedName>
    <definedName name="Wautonomous">'1-Weights-Alt1-GreenNCAP'!$G$20</definedName>
    <definedName name="Wboot">'1-Weights-Alt1-GreenNCAP'!$G$19</definedName>
    <definedName name="Wbrand">'1-Weights-Alt1-GreenNCAP'!$G$29</definedName>
    <definedName name="Wdesign">'1-Weights-Alt1-GreenNCAP'!$E$28</definedName>
    <definedName name="Wdoors">'1-Weights-Alt1-GreenNCAP'!$G$16</definedName>
    <definedName name="Weconom">'1-Weights-Alt1-GreenNCAP'!$C$6</definedName>
    <definedName name="Wemployment">'1-Weights-Alt1-GreenNCAP'!$E$27</definedName>
    <definedName name="Wenvironm">'1-Weights-Alt1-GreenNCAP'!$C$32</definedName>
    <definedName name="Weuroncap">'1-Weights-Alt1-GreenNCAP'!$E$11</definedName>
    <definedName name="Wfixedcost">'1-Weights-Alt1-GreenNCAP'!$G$8</definedName>
    <definedName name="Wfuel">'1-Weights-Alt1-GreenNCAP'!$G$9</definedName>
    <definedName name="Wfunctional">'1-Weights-Alt1-GreenNCAP'!$E$15</definedName>
    <definedName name="WgreenSI1">'1-Weights-Alt1-GreenNCAP'!$G$32</definedName>
    <definedName name="WgreenSI2">'1-Weights-Alt1-GreenNCAP'!$G$33</definedName>
    <definedName name="WgreenSI3">'1-Weights-Alt1-GreenNCAP'!$G$34</definedName>
    <definedName name="Wmaintcosts">'1-Weights-Alt1-GreenNCAP'!$G$7</definedName>
    <definedName name="Wncapadults">'1-Weights-Alt1-GreenNCAP'!$G$11</definedName>
    <definedName name="Wncapaids">'1-Weights-Alt1-GreenNCAP'!$G$14</definedName>
    <definedName name="Wncapchild">'1-Weights-Alt1-GreenNCAP'!$G$12</definedName>
    <definedName name="Wncaproadusers">'1-Weights-Alt1-GreenNCAP'!$G$13</definedName>
    <definedName name="Wpower">'1-Weights-Alt1-GreenNCAP'!$G$23</definedName>
    <definedName name="Wprice">'1-Weights-Alt1-GreenNCAP'!$G$31</definedName>
    <definedName name="Wrange">'1-Weights-Alt1-GreenNCAP'!$G$26</definedName>
    <definedName name="Wresidvalue">'1-Weights-Alt1-GreenNCAP'!$E$10</definedName>
    <definedName name="Wrspeed">'1-Weights-Alt1-GreenNCAP'!$G$25</definedName>
    <definedName name="Wseats">'1-Weights-Alt1-GreenNCAP'!$G$15</definedName>
    <definedName name="Wservstations">'1-Weights-Alt1-GreenNCAP'!$G$24</definedName>
    <definedName name="Wsize">'1-Weights-Alt1-GreenNCAP'!$G$30</definedName>
    <definedName name="Wsocial">'1-Weights-Alt1-GreenNCAP'!$C$11</definedName>
    <definedName name="Wstatus">'1-Weights-Alt1-GreenNCAP'!$E$29</definedName>
    <definedName name="Wsuspension">'1-Weights-Alt1-GreenNCAP'!$G$18</definedName>
    <definedName name="Wtorque">'1-Weights-Alt1-GreenNCAP'!$G$22</definedName>
    <definedName name="Wurbanaccess">'1-Weights-Alt1-GreenNCAP'!$G$21</definedName>
    <definedName name="Wusecost">'1-Weights-Alt1-GreenNCAP'!$E$7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0" i="13" l="1"/>
  <c r="E10" i="13"/>
  <c r="E39" i="13"/>
  <c r="K34" i="13"/>
  <c r="T40" i="13"/>
  <c r="S40" i="13"/>
  <c r="R40" i="13"/>
  <c r="Q40" i="13"/>
  <c r="P40" i="13"/>
  <c r="O40" i="13"/>
  <c r="T39" i="13"/>
  <c r="S39" i="13"/>
  <c r="R39" i="13"/>
  <c r="Q39" i="13"/>
  <c r="P39" i="13"/>
  <c r="O39" i="13"/>
  <c r="T38" i="13"/>
  <c r="S38" i="13"/>
  <c r="R38" i="13"/>
  <c r="Q38" i="13"/>
  <c r="P38" i="13"/>
  <c r="O38" i="13"/>
  <c r="D38" i="13"/>
  <c r="T37" i="13"/>
  <c r="S37" i="13"/>
  <c r="R37" i="13"/>
  <c r="Q37" i="13"/>
  <c r="P37" i="13"/>
  <c r="O37" i="13"/>
  <c r="I37" i="13"/>
  <c r="G37" i="13"/>
  <c r="I36" i="13"/>
  <c r="G36" i="13"/>
  <c r="I35" i="13"/>
  <c r="G35" i="13"/>
  <c r="G34" i="13"/>
  <c r="G33" i="13"/>
  <c r="T32" i="13"/>
  <c r="S32" i="13"/>
  <c r="R32" i="13"/>
  <c r="Q32" i="13"/>
  <c r="P32" i="13"/>
  <c r="O32" i="13"/>
  <c r="I32" i="13"/>
  <c r="T31" i="13"/>
  <c r="S31" i="13"/>
  <c r="R31" i="13"/>
  <c r="Q31" i="13"/>
  <c r="P31" i="13"/>
  <c r="O31" i="13"/>
  <c r="I31" i="13"/>
  <c r="I30" i="13"/>
  <c r="T29" i="13"/>
  <c r="S29" i="13"/>
  <c r="R29" i="13"/>
  <c r="Q29" i="13"/>
  <c r="P29" i="13"/>
  <c r="O29" i="13"/>
  <c r="I29" i="13"/>
  <c r="T28" i="13"/>
  <c r="S28" i="13"/>
  <c r="R28" i="13"/>
  <c r="Q28" i="13"/>
  <c r="P28" i="13"/>
  <c r="O28" i="13"/>
  <c r="I28" i="13"/>
  <c r="I27" i="13"/>
  <c r="I26" i="13"/>
  <c r="I25" i="13"/>
  <c r="I24" i="13"/>
  <c r="I23" i="13"/>
  <c r="I22" i="13"/>
  <c r="I21" i="13"/>
  <c r="G21" i="13"/>
  <c r="T20" i="13"/>
  <c r="S20" i="13"/>
  <c r="R20" i="13"/>
  <c r="Q20" i="13"/>
  <c r="P20" i="13"/>
  <c r="O20" i="13"/>
  <c r="I20" i="13"/>
  <c r="T19" i="13"/>
  <c r="S19" i="13"/>
  <c r="R19" i="13"/>
  <c r="Q19" i="13"/>
  <c r="P19" i="13"/>
  <c r="O19" i="13"/>
  <c r="I19" i="13"/>
  <c r="T18" i="13"/>
  <c r="S18" i="13"/>
  <c r="R18" i="13"/>
  <c r="Q18" i="13"/>
  <c r="P18" i="13"/>
  <c r="O18" i="13"/>
  <c r="I18" i="13"/>
  <c r="T17" i="13"/>
  <c r="S17" i="13"/>
  <c r="R17" i="13"/>
  <c r="Q17" i="13"/>
  <c r="P17" i="13"/>
  <c r="O17" i="13"/>
  <c r="I17" i="13"/>
  <c r="G17" i="13"/>
  <c r="D17" i="13"/>
  <c r="T16" i="13"/>
  <c r="S16" i="13"/>
  <c r="R16" i="13"/>
  <c r="Q16" i="13"/>
  <c r="P16" i="13"/>
  <c r="O16" i="13"/>
  <c r="G16" i="13"/>
  <c r="T15" i="13"/>
  <c r="S15" i="13"/>
  <c r="R15" i="13"/>
  <c r="Q15" i="13"/>
  <c r="P15" i="13"/>
  <c r="O15" i="13"/>
  <c r="I15" i="13"/>
  <c r="T14" i="13"/>
  <c r="S14" i="13"/>
  <c r="R14" i="13"/>
  <c r="Q14" i="13"/>
  <c r="P14" i="13"/>
  <c r="O14" i="13"/>
  <c r="I14" i="13"/>
  <c r="T13" i="13"/>
  <c r="S13" i="13"/>
  <c r="R13" i="13"/>
  <c r="Q13" i="13"/>
  <c r="P13" i="13"/>
  <c r="O13" i="13"/>
  <c r="I13" i="13"/>
  <c r="G13" i="13"/>
  <c r="T12" i="13"/>
  <c r="S12" i="13"/>
  <c r="R12" i="13"/>
  <c r="Q12" i="13"/>
  <c r="P12" i="13"/>
  <c r="O12" i="13"/>
  <c r="G12" i="13"/>
  <c r="D12" i="13"/>
  <c r="Q12" i="11"/>
  <c r="Q11" i="11"/>
  <c r="Q10" i="11"/>
  <c r="Q9" i="11"/>
  <c r="P13" i="11" l="1"/>
  <c r="K26" i="12" s="1"/>
  <c r="K25" i="13" s="1"/>
  <c r="G43" i="9" l="1"/>
  <c r="O39" i="12"/>
  <c r="P39" i="12"/>
  <c r="Q39" i="12"/>
  <c r="R39" i="12"/>
  <c r="S39" i="12"/>
  <c r="T39" i="12"/>
  <c r="O40" i="12"/>
  <c r="P40" i="12"/>
  <c r="Q40" i="12"/>
  <c r="R40" i="12"/>
  <c r="S40" i="12"/>
  <c r="T40" i="12"/>
  <c r="O41" i="12"/>
  <c r="P41" i="12"/>
  <c r="Q41" i="12"/>
  <c r="R41" i="12"/>
  <c r="S41" i="12"/>
  <c r="T41" i="12"/>
  <c r="P38" i="12"/>
  <c r="Q38" i="12"/>
  <c r="R38" i="12"/>
  <c r="S38" i="12"/>
  <c r="T38" i="12"/>
  <c r="O38" i="12"/>
  <c r="O33" i="12"/>
  <c r="P33" i="12"/>
  <c r="Q33" i="12"/>
  <c r="R33" i="12"/>
  <c r="S33" i="12"/>
  <c r="T33" i="12"/>
  <c r="P32" i="12"/>
  <c r="Q32" i="12"/>
  <c r="R32" i="12"/>
  <c r="S32" i="12"/>
  <c r="T32" i="12"/>
  <c r="O32" i="12"/>
  <c r="O30" i="12"/>
  <c r="P30" i="12"/>
  <c r="Q30" i="12"/>
  <c r="R30" i="12"/>
  <c r="S30" i="12"/>
  <c r="T30" i="12"/>
  <c r="P29" i="12"/>
  <c r="Q29" i="12"/>
  <c r="R29" i="12"/>
  <c r="S29" i="12"/>
  <c r="T29" i="12"/>
  <c r="O29" i="12"/>
  <c r="O18" i="12"/>
  <c r="P18" i="12"/>
  <c r="Q18" i="12"/>
  <c r="R18" i="12"/>
  <c r="S18" i="12"/>
  <c r="T18" i="12"/>
  <c r="O19" i="12"/>
  <c r="P19" i="12"/>
  <c r="Q19" i="12"/>
  <c r="R19" i="12"/>
  <c r="S19" i="12"/>
  <c r="T19" i="12"/>
  <c r="O20" i="12"/>
  <c r="P20" i="12"/>
  <c r="Q20" i="12"/>
  <c r="R20" i="12"/>
  <c r="S20" i="12"/>
  <c r="T20" i="12"/>
  <c r="O21" i="12"/>
  <c r="P21" i="12"/>
  <c r="Q21" i="12"/>
  <c r="R21" i="12"/>
  <c r="S21" i="12"/>
  <c r="T21" i="12"/>
  <c r="O14" i="12"/>
  <c r="P14" i="12"/>
  <c r="Q14" i="12"/>
  <c r="R14" i="12"/>
  <c r="S14" i="12"/>
  <c r="T14" i="12"/>
  <c r="O15" i="12"/>
  <c r="P15" i="12"/>
  <c r="Q15" i="12"/>
  <c r="R15" i="12"/>
  <c r="S15" i="12"/>
  <c r="T15" i="12"/>
  <c r="O16" i="12"/>
  <c r="P16" i="12"/>
  <c r="Q16" i="12"/>
  <c r="R16" i="12"/>
  <c r="S16" i="12"/>
  <c r="T16" i="12"/>
  <c r="O17" i="12"/>
  <c r="P17" i="12"/>
  <c r="Q17" i="12"/>
  <c r="R17" i="12"/>
  <c r="S17" i="12"/>
  <c r="T17" i="12"/>
  <c r="P13" i="12"/>
  <c r="Q13" i="12"/>
  <c r="R13" i="12"/>
  <c r="S13" i="12"/>
  <c r="T13" i="12"/>
  <c r="O13" i="12"/>
  <c r="K29" i="12" l="1"/>
  <c r="K28" i="13" s="1"/>
  <c r="K38" i="12"/>
  <c r="K37" i="13" s="1"/>
  <c r="K18" i="12"/>
  <c r="K17" i="13" s="1"/>
  <c r="K39" i="12"/>
  <c r="K14" i="12"/>
  <c r="K13" i="13" s="1"/>
  <c r="K33" i="12"/>
  <c r="K32" i="13" s="1"/>
  <c r="K13" i="12"/>
  <c r="K12" i="13" s="1"/>
  <c r="K19" i="12"/>
  <c r="K18" i="13" s="1"/>
  <c r="K16" i="12"/>
  <c r="K15" i="13" s="1"/>
  <c r="K20" i="12"/>
  <c r="K19" i="13" s="1"/>
  <c r="K30" i="12"/>
  <c r="K29" i="13" s="1"/>
  <c r="K41" i="12"/>
  <c r="K15" i="12"/>
  <c r="K14" i="13" s="1"/>
  <c r="K40" i="12"/>
  <c r="K32" i="12"/>
  <c r="K31" i="13" s="1"/>
  <c r="K17" i="12"/>
  <c r="K16" i="13" s="1"/>
  <c r="K21" i="12"/>
  <c r="K20" i="13" s="1"/>
  <c r="K37" i="12"/>
  <c r="K36" i="13" s="1"/>
  <c r="K36" i="12"/>
  <c r="K35" i="13" s="1"/>
  <c r="K34" i="12"/>
  <c r="K33" i="13" s="1"/>
  <c r="K31" i="12"/>
  <c r="K30" i="13" s="1"/>
  <c r="K28" i="12"/>
  <c r="K27" i="13" s="1"/>
  <c r="K27" i="12"/>
  <c r="K26" i="13" s="1"/>
  <c r="K25" i="12"/>
  <c r="K24" i="13" s="1"/>
  <c r="K24" i="12"/>
  <c r="K23" i="13" s="1"/>
  <c r="K23" i="12"/>
  <c r="K22" i="13" s="1"/>
  <c r="K22" i="12"/>
  <c r="K21" i="13" s="1"/>
  <c r="I41" i="12"/>
  <c r="I40" i="12"/>
  <c r="I39" i="12"/>
  <c r="I38" i="12"/>
  <c r="G38" i="12"/>
  <c r="I37" i="12"/>
  <c r="G37" i="12"/>
  <c r="I36" i="12"/>
  <c r="G36" i="12"/>
  <c r="G35" i="12"/>
  <c r="G34" i="12"/>
  <c r="I33" i="12"/>
  <c r="I32" i="12"/>
  <c r="I31" i="12"/>
  <c r="I30" i="12"/>
  <c r="I29" i="12"/>
  <c r="I28" i="12"/>
  <c r="I27" i="12"/>
  <c r="I26" i="12"/>
  <c r="I25" i="12"/>
  <c r="I24" i="12"/>
  <c r="I23" i="12"/>
  <c r="I22" i="12"/>
  <c r="G22" i="12"/>
  <c r="I21" i="12"/>
  <c r="I20" i="12"/>
  <c r="I19" i="12"/>
  <c r="I18" i="12"/>
  <c r="G18" i="12"/>
  <c r="D18" i="12"/>
  <c r="G17" i="12"/>
  <c r="I16" i="12"/>
  <c r="I15" i="12"/>
  <c r="I14" i="12"/>
  <c r="G14" i="12"/>
  <c r="G13" i="12"/>
  <c r="D13" i="12"/>
  <c r="D39" i="12"/>
  <c r="E14" i="13" l="1"/>
  <c r="E27" i="13"/>
  <c r="B24" i="13" s="1"/>
  <c r="E40" i="12"/>
  <c r="E15" i="12"/>
  <c r="E28" i="12"/>
  <c r="G31" i="10"/>
  <c r="G30" i="10"/>
  <c r="G29" i="10"/>
  <c r="G26" i="10"/>
  <c r="G25" i="10"/>
  <c r="G24" i="10"/>
  <c r="G23" i="10"/>
  <c r="G22" i="10"/>
  <c r="G21" i="10"/>
  <c r="G20" i="10"/>
  <c r="G19" i="10"/>
  <c r="G18" i="10"/>
  <c r="G17" i="10"/>
  <c r="G16" i="10"/>
  <c r="G15" i="10"/>
  <c r="G14" i="10"/>
  <c r="G13" i="10"/>
  <c r="G12" i="10"/>
  <c r="G11" i="10"/>
  <c r="G9" i="10"/>
  <c r="G8" i="10"/>
  <c r="G7" i="10"/>
  <c r="E29" i="10"/>
  <c r="E28" i="10"/>
  <c r="E27" i="10"/>
  <c r="E15" i="10"/>
  <c r="E11" i="10"/>
  <c r="E10" i="10"/>
  <c r="E7" i="10"/>
  <c r="E6" i="10"/>
  <c r="C32" i="10"/>
  <c r="C11" i="10"/>
  <c r="C6" i="10"/>
  <c r="B25" i="12" l="1"/>
  <c r="J32" i="10"/>
  <c r="K32" i="10" s="1"/>
  <c r="G42" i="10"/>
  <c r="G41" i="10"/>
  <c r="G40" i="10"/>
  <c r="G39" i="10"/>
  <c r="G38" i="10"/>
  <c r="G37" i="10"/>
  <c r="G36" i="10"/>
  <c r="E36" i="10"/>
  <c r="G35" i="10"/>
  <c r="E35" i="10"/>
  <c r="G34" i="10"/>
  <c r="E34" i="10"/>
  <c r="C34" i="10"/>
  <c r="J31" i="10"/>
  <c r="E31" i="10"/>
  <c r="J30" i="10"/>
  <c r="E30" i="10"/>
  <c r="J29" i="10"/>
  <c r="J28" i="10"/>
  <c r="K28" i="10" s="1"/>
  <c r="J27" i="10"/>
  <c r="K27" i="10" s="1"/>
  <c r="J26" i="10"/>
  <c r="J25" i="10"/>
  <c r="J24" i="10"/>
  <c r="J23" i="10"/>
  <c r="J22" i="10"/>
  <c r="J21" i="10"/>
  <c r="K21" i="10" s="1"/>
  <c r="J20" i="10"/>
  <c r="K20" i="10" s="1"/>
  <c r="J19" i="10"/>
  <c r="J18" i="10"/>
  <c r="J17" i="10"/>
  <c r="J16" i="10"/>
  <c r="J15" i="10"/>
  <c r="J14" i="10"/>
  <c r="J13" i="10"/>
  <c r="J12" i="10"/>
  <c r="J11" i="10"/>
  <c r="J9" i="10"/>
  <c r="J8" i="10"/>
  <c r="J7" i="10"/>
  <c r="J6" i="10"/>
  <c r="K6" i="10" s="1"/>
  <c r="K7" i="10" l="1"/>
  <c r="K11" i="10"/>
  <c r="K29" i="10"/>
  <c r="K15" i="10"/>
  <c r="K22" i="10"/>
  <c r="K24" i="10"/>
  <c r="J34" i="10"/>
  <c r="G41" i="9"/>
  <c r="G42" i="9"/>
  <c r="G40" i="9"/>
  <c r="G37" i="9"/>
  <c r="E37" i="9"/>
  <c r="G35" i="9"/>
  <c r="J33" i="9"/>
  <c r="K33" i="9" s="1"/>
  <c r="J34" i="9"/>
  <c r="K34" i="9" s="1"/>
  <c r="E31" i="9"/>
  <c r="J30" i="9"/>
  <c r="E30" i="9"/>
  <c r="J29" i="9"/>
  <c r="J28" i="9"/>
  <c r="K28" i="9" s="1"/>
  <c r="J27" i="9"/>
  <c r="K27" i="9" s="1"/>
  <c r="J25" i="9"/>
  <c r="J24" i="9"/>
  <c r="J23" i="9"/>
  <c r="J22" i="9"/>
  <c r="J21" i="9"/>
  <c r="K21" i="9" s="1"/>
  <c r="J19" i="9"/>
  <c r="J18" i="9"/>
  <c r="J17" i="9"/>
  <c r="J15" i="9"/>
  <c r="J26" i="9"/>
  <c r="J14" i="9"/>
  <c r="J12" i="9"/>
  <c r="J11" i="9"/>
  <c r="E36" i="9"/>
  <c r="J31" i="9"/>
  <c r="C35" i="9"/>
  <c r="K34" i="10" l="1"/>
  <c r="K22" i="9"/>
  <c r="K29" i="9"/>
  <c r="K24" i="9"/>
  <c r="J7" i="9"/>
  <c r="G36" i="9"/>
  <c r="J32" i="9"/>
  <c r="K32" i="9" s="1"/>
  <c r="G38" i="9"/>
  <c r="G39" i="9"/>
  <c r="J8" i="9"/>
  <c r="J13" i="9"/>
  <c r="K11" i="9" s="1"/>
  <c r="J16" i="9"/>
  <c r="K15" i="9" s="1"/>
  <c r="J20" i="9"/>
  <c r="K20" i="9" s="1"/>
  <c r="J6" i="9" l="1"/>
  <c r="J9" i="9"/>
  <c r="K7" i="9" s="1"/>
  <c r="E35" i="9"/>
  <c r="J35" i="9" l="1"/>
  <c r="K6" i="9"/>
  <c r="K35" i="9" s="1"/>
</calcChain>
</file>

<file path=xl/sharedStrings.xml><?xml version="1.0" encoding="utf-8"?>
<sst xmlns="http://schemas.openxmlformats.org/spreadsheetml/2006/main" count="569" uniqueCount="226">
  <si>
    <t>Social</t>
  </si>
  <si>
    <t>Euros / km</t>
  </si>
  <si>
    <t>%</t>
  </si>
  <si>
    <t>km</t>
  </si>
  <si>
    <t>N·m / kg</t>
  </si>
  <si>
    <t>CV / kg</t>
  </si>
  <si>
    <t>Sustainability Index (SI)</t>
  </si>
  <si>
    <t>Environmen-tal Index</t>
  </si>
  <si>
    <t>Pillars</t>
  </si>
  <si>
    <t>Criteria</t>
  </si>
  <si>
    <t>Indicators</t>
  </si>
  <si>
    <t>Units</t>
  </si>
  <si>
    <t>Acquisition costs</t>
  </si>
  <si>
    <t>Residual value</t>
  </si>
  <si>
    <t>Employment</t>
  </si>
  <si>
    <t>Design</t>
  </si>
  <si>
    <t>Social status</t>
  </si>
  <si>
    <t>Utilisation costs</t>
  </si>
  <si>
    <t>Functionality (functionality, comfort and ability to solve problems for the owner and their family)</t>
  </si>
  <si>
    <t>GreenNCAP assessment</t>
  </si>
  <si>
    <t>EuroNCAP safety assessment</t>
  </si>
  <si>
    <t>Economic Index</t>
  </si>
  <si>
    <t>Social Index</t>
  </si>
  <si>
    <t>Average maintenance and repair costs</t>
  </si>
  <si>
    <t>Fuel consumption costs in WLTP cycle</t>
  </si>
  <si>
    <t>Fixed costs (safety test, compulsory insurance coverage, road tax)</t>
  </si>
  <si>
    <t>Car depreciation after one year</t>
  </si>
  <si>
    <t>Adult occupants</t>
  </si>
  <si>
    <t>Child occupants</t>
  </si>
  <si>
    <t>Vulnerable road users</t>
  </si>
  <si>
    <t>Driving safety aids</t>
  </si>
  <si>
    <t>Number and type of passenger seats</t>
  </si>
  <si>
    <t>Number of passenger doors</t>
  </si>
  <si>
    <t>Seat and platform access height</t>
  </si>
  <si>
    <t>Suspension comfort</t>
  </si>
  <si>
    <t>Boot capacity and comfort</t>
  </si>
  <si>
    <t>Freedom of access to urban areas</t>
  </si>
  <si>
    <t>Density of service stations (refuelling, recharging)</t>
  </si>
  <si>
    <t>Refuelling or recharging speed</t>
  </si>
  <si>
    <t>Torque / kerb weight</t>
  </si>
  <si>
    <t>Power / kerb weight</t>
  </si>
  <si>
    <t>Brand</t>
  </si>
  <si>
    <t>Size</t>
  </si>
  <si>
    <t>Purchase price</t>
  </si>
  <si>
    <t>Manufacturing location (assembly location)</t>
  </si>
  <si>
    <t>Design (external and internal aesthetics, finishes, haptics, etc.)</t>
  </si>
  <si>
    <t>Months of net salary</t>
  </si>
  <si>
    <t>Euros / year</t>
  </si>
  <si>
    <t>Dimensionless (0-100)</t>
  </si>
  <si>
    <t>Dimensionless (0-10)</t>
  </si>
  <si>
    <t>Discrete variable (number and type)</t>
  </si>
  <si>
    <t>Discrete variable (number)</t>
  </si>
  <si>
    <t>Discrete variable (depending on car type)</t>
  </si>
  <si>
    <t>Composite variable (4 components)</t>
  </si>
  <si>
    <t>Discrete variable (total / other cases)</t>
  </si>
  <si>
    <t>Discrete variable (depending on susp type)</t>
  </si>
  <si>
    <t>Discrete variable (SAE International: 1 to 5)</t>
  </si>
  <si>
    <t>Minutes</t>
  </si>
  <si>
    <t>Economic</t>
  </si>
  <si>
    <t>GreenNCAP</t>
  </si>
  <si>
    <t>EuroNCAP</t>
  </si>
  <si>
    <t>Funtionality</t>
  </si>
  <si>
    <t>3 pillars</t>
  </si>
  <si>
    <t>Discrete variable (depending on the country)</t>
  </si>
  <si>
    <t>Subjective continuous variable (0-1)</t>
  </si>
  <si>
    <t>Discrete variable (according to brand)</t>
  </si>
  <si>
    <t>Discrete variable (according to car type)</t>
  </si>
  <si>
    <t>Alternative 1: Environmental Index based on GreenNCAP assessment.</t>
  </si>
  <si>
    <r>
      <t>W</t>
    </r>
    <r>
      <rPr>
        <b/>
        <vertAlign val="subscript"/>
        <sz val="11"/>
        <color theme="1"/>
        <rFont val="Calibri"/>
        <family val="2"/>
        <scheme val="minor"/>
      </rPr>
      <t>p</t>
    </r>
  </si>
  <si>
    <r>
      <t>W</t>
    </r>
    <r>
      <rPr>
        <b/>
        <vertAlign val="subscript"/>
        <sz val="11"/>
        <color theme="1"/>
        <rFont val="Calibri"/>
        <family val="2"/>
        <scheme val="minor"/>
      </rPr>
      <t>c</t>
    </r>
  </si>
  <si>
    <r>
      <t>W</t>
    </r>
    <r>
      <rPr>
        <b/>
        <vertAlign val="subscript"/>
        <sz val="11"/>
        <color theme="1"/>
        <rFont val="Calibri"/>
        <family val="2"/>
        <scheme val="minor"/>
      </rPr>
      <t>i</t>
    </r>
  </si>
  <si>
    <r>
      <t>W</t>
    </r>
    <r>
      <rPr>
        <b/>
        <vertAlign val="subscript"/>
        <sz val="11"/>
        <color theme="1"/>
        <rFont val="Calibri"/>
        <family val="2"/>
        <scheme val="minor"/>
      </rPr>
      <t>absol</t>
    </r>
  </si>
  <si>
    <r>
      <t xml:space="preserve">Weights of the model: </t>
    </r>
    <r>
      <rPr>
        <b/>
        <sz val="12"/>
        <color rgb="FFC00000"/>
        <rFont val="Calibri"/>
        <family val="2"/>
        <scheme val="minor"/>
      </rPr>
      <t>the user does NOT have to make any changes to this spreadsheet</t>
    </r>
    <r>
      <rPr>
        <b/>
        <sz val="12"/>
        <color theme="1"/>
        <rFont val="Calibri"/>
        <family val="2"/>
        <scheme val="minor"/>
      </rPr>
      <t xml:space="preserve">. Changes made to the spreadsheet of the Alternative 1 are transferred here. </t>
    </r>
  </si>
  <si>
    <t xml:space="preserve">S-shaped </t>
  </si>
  <si>
    <t xml:space="preserve">Linear </t>
  </si>
  <si>
    <t xml:space="preserve">Convex </t>
  </si>
  <si>
    <t xml:space="preserve">Type </t>
  </si>
  <si>
    <t xml:space="preserve">Shape </t>
  </si>
  <si>
    <t>Parameters</t>
  </si>
  <si>
    <t>Geometry</t>
  </si>
  <si>
    <t xml:space="preserve">E1 Acquisition costs (months of net salary) </t>
  </si>
  <si>
    <t xml:space="preserve">E2 Average maintenance and repair costs (€∕year) </t>
  </si>
  <si>
    <t xml:space="preserve">E3 Fixed costs (€∕year) </t>
  </si>
  <si>
    <t xml:space="preserve">E4 Fuel consumption costs in WLTP cycle (€∕km) </t>
  </si>
  <si>
    <t xml:space="preserve">E5 Car depreciation after one year (% of the initial value) </t>
  </si>
  <si>
    <t xml:space="preserve">S1 Adult occupant safety (dimensionless 0-100) </t>
  </si>
  <si>
    <t xml:space="preserve">S2 Child occupant safety (dimensionless 0-100) </t>
  </si>
  <si>
    <t xml:space="preserve">S3 Vulnerable road users safety (dimensionless 0-100) </t>
  </si>
  <si>
    <t xml:space="preserve">S4 Driving safety aids (dimensionless 0-100) </t>
  </si>
  <si>
    <t xml:space="preserve">S12 Torque / Kerb weight (N·m∕kg) </t>
  </si>
  <si>
    <t xml:space="preserve">S13 Power / Kerb weight (CV/kg) </t>
  </si>
  <si>
    <t xml:space="preserve">S15 Refuelling or recharging speed (minutes) </t>
  </si>
  <si>
    <t xml:space="preserve">S16 Range in WLTP cycle (km) </t>
  </si>
  <si>
    <t>Driving range in WLTP cycle</t>
  </si>
  <si>
    <t xml:space="preserve">S21 Purchase price (€) </t>
  </si>
  <si>
    <t>Clean air (impact on people)</t>
  </si>
  <si>
    <t>Energy efficiency (resource consumption)</t>
  </si>
  <si>
    <t>Greenhouse gases (global warming)</t>
  </si>
  <si>
    <t>€</t>
  </si>
  <si>
    <t xml:space="preserve">EN1 Clean air (impact on people) (dimensionless 0-10) </t>
  </si>
  <si>
    <t xml:space="preserve">EN2 Energy efficiency (resource consumption) (dimensionless 0-10) </t>
  </si>
  <si>
    <t xml:space="preserve">EN3 Greenhouse gases (global warming) (dimensionless 0-10) </t>
  </si>
  <si>
    <t xml:space="preserve">More than five </t>
  </si>
  <si>
    <t xml:space="preserve">Rest of vehicles </t>
  </si>
  <si>
    <t xml:space="preserve">Adaptive suspension </t>
  </si>
  <si>
    <t xml:space="preserve">Rest </t>
  </si>
  <si>
    <t xml:space="preserve">Other cases </t>
  </si>
  <si>
    <t xml:space="preserve">EVs </t>
  </si>
  <si>
    <t xml:space="preserve">Other options </t>
  </si>
  <si>
    <t>S5  Number and type of seats</t>
  </si>
  <si>
    <t>S6 Number of doors</t>
  </si>
  <si>
    <t>S7 Access height</t>
  </si>
  <si>
    <t>S10 Level of driving automation</t>
  </si>
  <si>
    <t>S11 Freedom of access to urban areas</t>
  </si>
  <si>
    <t>S14 Density of service stations</t>
  </si>
  <si>
    <t>Level of driving automation</t>
  </si>
  <si>
    <t>S19 Brand</t>
  </si>
  <si>
    <t>S20 Size</t>
  </si>
  <si>
    <t>Level of satisfaction</t>
  </si>
  <si>
    <t>S17 Manufacturing location (assembly)</t>
  </si>
  <si>
    <t>Spain</t>
  </si>
  <si>
    <t>European Union</t>
  </si>
  <si>
    <t xml:space="preserve">Other countries </t>
  </si>
  <si>
    <t>Low-cost brands</t>
  </si>
  <si>
    <t>Generalist brands</t>
  </si>
  <si>
    <t>Premium brands</t>
  </si>
  <si>
    <t>Luxury</t>
  </si>
  <si>
    <t>Full size</t>
  </si>
  <si>
    <t>Medium size</t>
  </si>
  <si>
    <t>Compact</t>
  </si>
  <si>
    <t>Other</t>
  </si>
  <si>
    <r>
      <t>P</t>
    </r>
    <r>
      <rPr>
        <b/>
        <vertAlign val="subscript"/>
        <sz val="11"/>
        <color theme="1"/>
        <rFont val="Calibri"/>
        <family val="2"/>
        <scheme val="minor"/>
      </rPr>
      <t>j,min</t>
    </r>
    <r>
      <rPr>
        <b/>
        <sz val="11"/>
        <color theme="1"/>
        <rFont val="Calibri"/>
        <family val="2"/>
        <scheme val="minor"/>
      </rPr>
      <t xml:space="preserve"> </t>
    </r>
  </si>
  <si>
    <r>
      <t>P</t>
    </r>
    <r>
      <rPr>
        <b/>
        <vertAlign val="subscript"/>
        <sz val="11"/>
        <color theme="1"/>
        <rFont val="Calibri"/>
        <family val="2"/>
        <scheme val="minor"/>
      </rPr>
      <t xml:space="preserve">j,max </t>
    </r>
  </si>
  <si>
    <r>
      <t>n</t>
    </r>
    <r>
      <rPr>
        <b/>
        <vertAlign val="subscript"/>
        <sz val="11"/>
        <color theme="1"/>
        <rFont val="Calibri"/>
        <family val="2"/>
        <scheme val="minor"/>
      </rPr>
      <t>j</t>
    </r>
    <r>
      <rPr>
        <b/>
        <sz val="11"/>
        <color theme="1"/>
        <rFont val="Calibri"/>
        <family val="2"/>
        <scheme val="minor"/>
      </rPr>
      <t xml:space="preserve"> </t>
    </r>
  </si>
  <si>
    <r>
      <t>m</t>
    </r>
    <r>
      <rPr>
        <b/>
        <vertAlign val="subscript"/>
        <sz val="11"/>
        <color theme="1"/>
        <rFont val="Calibri"/>
        <family val="2"/>
        <scheme val="minor"/>
      </rPr>
      <t>j</t>
    </r>
    <r>
      <rPr>
        <b/>
        <sz val="11"/>
        <color theme="1"/>
        <rFont val="Calibri"/>
        <family val="2"/>
        <scheme val="minor"/>
      </rPr>
      <t xml:space="preserve"> </t>
    </r>
  </si>
  <si>
    <r>
      <t>A</t>
    </r>
    <r>
      <rPr>
        <b/>
        <vertAlign val="subscript"/>
        <sz val="11"/>
        <color theme="1"/>
        <rFont val="Calibri"/>
        <family val="2"/>
        <scheme val="minor"/>
      </rPr>
      <t>j</t>
    </r>
    <r>
      <rPr>
        <b/>
        <sz val="11"/>
        <color theme="1"/>
        <rFont val="Calibri"/>
        <family val="2"/>
        <scheme val="minor"/>
      </rPr>
      <t xml:space="preserve"> </t>
    </r>
  </si>
  <si>
    <t>SI =</t>
  </si>
  <si>
    <t>Economic Index (EconI)</t>
  </si>
  <si>
    <t>Social Index (SocI)</t>
  </si>
  <si>
    <t>Environmen-tal Index (EI)</t>
  </si>
  <si>
    <t>EconI =</t>
  </si>
  <si>
    <t>SocI =</t>
  </si>
  <si>
    <t>EI =</t>
  </si>
  <si>
    <r>
      <t>P</t>
    </r>
    <r>
      <rPr>
        <b/>
        <vertAlign val="subscript"/>
        <sz val="11"/>
        <color theme="1"/>
        <rFont val="Calibri"/>
        <family val="2"/>
        <scheme val="minor"/>
      </rPr>
      <t>j,x</t>
    </r>
  </si>
  <si>
    <r>
      <t>V</t>
    </r>
    <r>
      <rPr>
        <b/>
        <vertAlign val="subscript"/>
        <sz val="11"/>
        <color theme="1"/>
        <rFont val="Calibri"/>
        <family val="2"/>
        <scheme val="minor"/>
      </rPr>
      <t>j</t>
    </r>
  </si>
  <si>
    <t xml:space="preserve">2 seats </t>
  </si>
  <si>
    <t>2 + 2 very small</t>
  </si>
  <si>
    <t>4 seats</t>
  </si>
  <si>
    <t>4 + 1 small</t>
  </si>
  <si>
    <t xml:space="preserve">5 (real 5) </t>
  </si>
  <si>
    <t xml:space="preserve">2 doors </t>
  </si>
  <si>
    <t xml:space="preserve">4 or more </t>
  </si>
  <si>
    <t>Low deck (sports)</t>
  </si>
  <si>
    <t xml:space="preserve">Common ORV or SUV </t>
  </si>
  <si>
    <t>High-deck ORV or SUV</t>
  </si>
  <si>
    <t>Non-adaptive sports</t>
  </si>
  <si>
    <t>Level 0 (SAE)</t>
  </si>
  <si>
    <t>Level 1 (SAE)</t>
  </si>
  <si>
    <t>Level 2 (SAE)</t>
  </si>
  <si>
    <t>Level 3 (SAE)</t>
  </si>
  <si>
    <t xml:space="preserve">Level 4 (SAE) </t>
  </si>
  <si>
    <t xml:space="preserve">Level 5 (SAE) </t>
  </si>
  <si>
    <t>Total freedom</t>
  </si>
  <si>
    <t>Conventional &amp; hybrid cars</t>
  </si>
  <si>
    <t>Increasing</t>
  </si>
  <si>
    <t>Decreasing</t>
  </si>
  <si>
    <t xml:space="preserve">Pj,min </t>
  </si>
  <si>
    <t xml:space="preserve">Pj,max </t>
  </si>
  <si>
    <t xml:space="preserve">nj </t>
  </si>
  <si>
    <t xml:space="preserve">mj </t>
  </si>
  <si>
    <t xml:space="preserve">Aj </t>
  </si>
  <si>
    <t>Discrete funtion</t>
  </si>
  <si>
    <t>Composite function</t>
  </si>
  <si>
    <t>Subjective funtion: the user establishes a value between 0 and 1</t>
  </si>
  <si>
    <t>New model for assessing the sustainability of motor vehicles for personal and family use (paper by Cardenal, Cartelle, de la Cruz, del Caño)</t>
  </si>
  <si>
    <t>S8 Suspension comfort</t>
  </si>
  <si>
    <t>For continuous ones, after any change, the value function must be drawn using formula (1) in the paper, to verify that the result is as desired by the user.</t>
  </si>
  <si>
    <t>Is it possible to fold down the vehicle seats?</t>
  </si>
  <si>
    <t>Yes</t>
  </si>
  <si>
    <t>Does the vehicle's tailgate provide low and unobstructed access?</t>
  </si>
  <si>
    <t>Does the tailgate allow for hands-free opening?</t>
  </si>
  <si>
    <t>Boot capacity measured in litres</t>
  </si>
  <si>
    <t>Table VF1. Continuous indicators</t>
  </si>
  <si>
    <t>Table VF2. Discrete Indicators</t>
  </si>
  <si>
    <t xml:space="preserve">Potential answers </t>
  </si>
  <si>
    <t>Table VF3. Composite indicator.</t>
  </si>
  <si>
    <t>Please fill in this questionnaire.</t>
  </si>
  <si>
    <t>S9. Boot capacity and comfort.</t>
  </si>
  <si>
    <t>Question</t>
  </si>
  <si>
    <t>Answer</t>
  </si>
  <si>
    <t>Value</t>
  </si>
  <si>
    <t>Resulting level of satisfaction for indicator S9 =</t>
  </si>
  <si>
    <t>Composite variable: fill in the questionnaire in Table VF3, in spreadsheet 3.</t>
  </si>
  <si>
    <r>
      <t xml:space="preserve">Weights of the model: </t>
    </r>
    <r>
      <rPr>
        <b/>
        <sz val="12"/>
        <color rgb="FFC00000"/>
        <rFont val="Calibri"/>
        <family val="2"/>
        <scheme val="minor"/>
      </rPr>
      <t>the user can change here the weights</t>
    </r>
    <r>
      <rPr>
        <b/>
        <sz val="12"/>
        <color theme="1"/>
        <rFont val="Calibri"/>
        <family val="2"/>
        <scheme val="minor"/>
      </rPr>
      <t>; please check, in the cells at the bottom of the table, that all branch weights still add up to 100%</t>
    </r>
  </si>
  <si>
    <r>
      <t xml:space="preserve">Value functions of the model: </t>
    </r>
    <r>
      <rPr>
        <b/>
        <sz val="12"/>
        <color rgb="FFC00000"/>
        <rFont val="Calibri"/>
        <family val="2"/>
        <scheme val="minor"/>
      </rPr>
      <t>the user can change here the parameters of the value functions</t>
    </r>
    <r>
      <rPr>
        <b/>
        <sz val="12"/>
        <color theme="1"/>
        <rFont val="Calibri"/>
        <family val="2"/>
        <scheme val="minor"/>
      </rPr>
      <t>.</t>
    </r>
  </si>
  <si>
    <t>Subjective variable: introduce your satisfaction level in the cell on the left (Vj)</t>
  </si>
  <si>
    <r>
      <t>· For discrete indicators, select your answer from the drop-down menu that appears in the opportune cell of the P</t>
    </r>
    <r>
      <rPr>
        <b/>
        <vertAlign val="subscript"/>
        <sz val="12"/>
        <color theme="1"/>
        <rFont val="Calibri"/>
        <family val="2"/>
        <scheme val="minor"/>
      </rPr>
      <t>j,x</t>
    </r>
    <r>
      <rPr>
        <b/>
        <sz val="12"/>
        <color theme="1"/>
        <rFont val="Calibri"/>
        <family val="2"/>
        <scheme val="minor"/>
      </rPr>
      <t xml:space="preserve"> column: the corresponding satisfaction level will automatically appear in column V</t>
    </r>
    <r>
      <rPr>
        <b/>
        <vertAlign val="subscript"/>
        <sz val="12"/>
        <color theme="1"/>
        <rFont val="Calibri"/>
        <family val="2"/>
        <scheme val="minor"/>
      </rPr>
      <t>j</t>
    </r>
    <r>
      <rPr>
        <b/>
        <sz val="12"/>
        <color theme="1"/>
        <rFont val="Calibri"/>
        <family val="2"/>
        <scheme val="minor"/>
      </rPr>
      <t>.</t>
    </r>
  </si>
  <si>
    <r>
      <t>· For continuous indicators, enter in the P</t>
    </r>
    <r>
      <rPr>
        <b/>
        <vertAlign val="subscript"/>
        <sz val="12"/>
        <color theme="1"/>
        <rFont val="Calibri"/>
        <family val="2"/>
        <scheme val="minor"/>
      </rPr>
      <t>j,x</t>
    </r>
    <r>
      <rPr>
        <b/>
        <sz val="12"/>
        <color theme="1"/>
        <rFont val="Calibri"/>
        <family val="2"/>
        <scheme val="minor"/>
      </rPr>
      <t xml:space="preserve"> column the numerical value taken by the indicator, in the appropriate units: the corresponding satisfaction level will automatically appear in the V</t>
    </r>
    <r>
      <rPr>
        <b/>
        <vertAlign val="subscript"/>
        <sz val="12"/>
        <color theme="1"/>
        <rFont val="Calibri"/>
        <family val="2"/>
        <scheme val="minor"/>
      </rPr>
      <t>j</t>
    </r>
    <r>
      <rPr>
        <b/>
        <sz val="12"/>
        <color theme="1"/>
        <rFont val="Calibri"/>
        <family val="2"/>
        <scheme val="minor"/>
      </rPr>
      <t xml:space="preserve"> column.</t>
    </r>
  </si>
  <si>
    <t>· For the composite indicator (boot capacity and comfort), please complete the questionnaire included in Table VF3, inspreadsheet number 3 (3-ValueFunctions).</t>
  </si>
  <si>
    <r>
      <t>· For the subjective design indicator (external and internal aesthetics, finishes, haptics, etc.), enter your level of satisfaction (from 0 to 1) directly in the corresponding cell in column V</t>
    </r>
    <r>
      <rPr>
        <b/>
        <vertAlign val="subscript"/>
        <sz val="12"/>
        <color theme="1"/>
        <rFont val="Calibri"/>
        <family val="2"/>
        <scheme val="minor"/>
      </rPr>
      <t>j</t>
    </r>
    <r>
      <rPr>
        <b/>
        <sz val="12"/>
        <color theme="1"/>
        <rFont val="Calibri"/>
        <family val="2"/>
        <scheme val="minor"/>
      </rPr>
      <t>.</t>
    </r>
  </si>
  <si>
    <t>If you want to change the parameters of the value functions, please do it in the spreadsheet number 3 (3-ValueFunctions).</t>
  </si>
  <si>
    <t>If you want to change the weights of the model, please do it in the spreadsheet number 1 (1-Weights-Alt1-GreenNCAP).</t>
  </si>
  <si>
    <t>BMW 220i Active Tourer (mild HEV)</t>
  </si>
  <si>
    <t>Basic instructions</t>
  </si>
  <si>
    <t>Support electronic book for utilisation by potential buyers of private vehicles (authors: M. Pilar de la Cruz &amp; Alfredo del Caño)</t>
  </si>
  <si>
    <t>2. After that, if you wish to use weights other than those employed in the paper, you must make the appropriate changes in spreadsheet number 1, called "1-Weights-Alt1-GreenNCAP".</t>
  </si>
  <si>
    <t>4. If you wish to make changes to the parameters of the value functions we use in the paper, you must do so in spreadsheet number 3, called "3-ValueFunctions".</t>
  </si>
  <si>
    <t>After introducing all that information, the economic (EconI), social (SocI) and environmental (EI) indices will be automatically calculated below, toghether with the total sustainability index (SI).</t>
  </si>
  <si>
    <t>Alternative 2: Environmental Index based on Eco-indicator 99 assessment (Bicer and Dicer 2018).</t>
  </si>
  <si>
    <t>Eco-indicator 99 (Bicer and Dincer 2018)</t>
  </si>
  <si>
    <t>Eco-indicator 99 assessment</t>
  </si>
  <si>
    <t>Milli-point (mPt) dimensionless score</t>
  </si>
  <si>
    <t>· With the exception of the environmental one (Eco-indicator 99), the values for the other indicators should NOT be entered here. The values from the previous spreadsheet will appear here automatically.</t>
  </si>
  <si>
    <t>· The only thing you need to do here is enter the value taken by Eco-indicator 99, in Milli-points (mPt).</t>
  </si>
  <si>
    <t xml:space="preserve">· The user can employ (Bicer and Dincer 2018) 20 to 28 mPt for Evs (depending on the electricity mix), and 16 to 19 mPt for the conventional vehicles, depending on whether the car consumes gasoline or diesel. </t>
  </si>
  <si>
    <t>Eco-indicator 99 (Milli-point dimensionless score; mPt)</t>
  </si>
  <si>
    <t>5. After that, go to spreadsheet number 4, called "4-Model-Alt1-GreenNCAP", and enter the information requested there. To do so, follow the instructions provided on that spreadsheet. After introducing all that information, the economic, social and environmental indices will be automatically calculated in this spreadsheet, toghether with the total sustainability index, employing the Green NCAP environmental indicators.</t>
  </si>
  <si>
    <t xml:space="preserve">3. Please do NOT make any change to the spreadsheet number 2 (called "2-Weights-Alt2-Ecoind99). The changes made in spreadsheet number 1 will be automatically transferred to spreadsheet number 2, which is for information purposes only. </t>
  </si>
  <si>
    <t>6. Finally, go to spreadsheet number 5, called "5-Model-Alt2-Ecoind99", and enter only the information related to the Eco-indicator 99. The values for the other indicators should NOT be entered in spreadsheet number 5. The values from the  spreadsheet number will appear here automatically. At the end, the same economic and social indices will be obtained, and the new environmental and total sustainability indices will be calculated, now employing the Eco-indicator 99.</t>
  </si>
  <si>
    <t>7. This electronic book includes all the calculations for the BMW 220i Active Tourer (mild HEV) vehicle studied in our paper. Users can enter data for the other vehicles analysed in the article, as well as for any other vehicle they may be interested in.</t>
  </si>
  <si>
    <t>8. This electronic book can also be used to generate and exploit probabilistic models. To do so, users can opt for the combined utilisation of Excel with commercial add-ins such as Lumivero (formerly Palisade) @Risk or Oracle Crystal Ball. They can also use Excel in conjunction with a free add-in such as Argo, from Booz Allen, which can be downloaded from this same platform at: https://boozallen.github.io/argo/.</t>
  </si>
  <si>
    <t xml:space="preserve">Vehicle: </t>
  </si>
  <si>
    <t xml:space="preserve">Decreasing </t>
  </si>
  <si>
    <t>New model for assessing the sustainability of motor vehicles for personal and family use (paper by  Cartelle, Cardenal, de la Cruz, del Caño)</t>
  </si>
  <si>
    <t>1. Firstly, it is important for users to understand the method, model and indicators used; to do so, they should read our paper: "New probabilistic multi-criteria model for assessing the integral sustainability of private cars with different propulsion systems" (by Cartelle, Cardenal, de la Cruz, del Caño).</t>
  </si>
  <si>
    <t>New model for assessing the sustainability of motor vehicles for personal and family use (paper by Cartelle, Cardenal, de la Cruz, del Caño)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</si>
</sst>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21" x14ac:knownFonts="1">
    <font>
      <sz val="11"/>
      <color theme="1"/>
      <name val="Calibri"/>
      <family val="2"/>
      <scheme val="minor"/>
    </font>
    <font>
      <b/>
      <sz val="11"/>
      <color theme="1"/>
      <name val="Calibri"/>
      <family val="2"/>
      <scheme val="minor"/>
    </font>
    <font>
      <sz val="11"/>
      <color theme="1"/>
      <name val="Calibri"/>
      <family val="2"/>
      <scheme val="minor"/>
    </font>
    <font>
      <sz val="11"/>
      <color rgb="FFFF0000"/>
      <name val="Calibri"/>
      <family val="2"/>
      <scheme val="minor"/>
    </font>
    <font>
      <sz val="11"/>
      <name val="Calibri"/>
      <family val="2"/>
      <scheme val="minor"/>
    </font>
    <font>
      <sz val="11"/>
      <color rgb="FFC00000"/>
      <name val="Calibri"/>
      <family val="2"/>
      <scheme val="minor"/>
    </font>
    <font>
      <sz val="11"/>
      <color rgb="FF0070C0"/>
      <name val="Calibri"/>
      <family val="2"/>
      <scheme val="minor"/>
    </font>
    <font>
      <sz val="11"/>
      <color rgb="FF00B050"/>
      <name val="Calibri"/>
      <family val="2"/>
      <scheme val="minor"/>
    </font>
    <font>
      <sz val="11"/>
      <color rgb="FF669900"/>
      <name val="Calibri"/>
      <family val="2"/>
      <scheme val="minor"/>
    </font>
    <font>
      <sz val="11"/>
      <color theme="7" tint="-0.249977111117893"/>
      <name val="Calibri"/>
      <family val="2"/>
      <scheme val="minor"/>
    </font>
    <font>
      <sz val="11"/>
      <color theme="5" tint="-0.249977111117893"/>
      <name val="Calibri"/>
      <family val="2"/>
      <scheme val="minor"/>
    </font>
    <font>
      <b/>
      <sz val="12"/>
      <color theme="1"/>
      <name val="Calibri"/>
      <family val="2"/>
      <scheme val="minor"/>
    </font>
    <font>
      <b/>
      <vertAlign val="subscript"/>
      <sz val="11"/>
      <color theme="1"/>
      <name val="Calibri"/>
      <family val="2"/>
      <scheme val="minor"/>
    </font>
    <font>
      <b/>
      <sz val="12"/>
      <color rgb="FFC00000"/>
      <name val="Calibri"/>
      <family val="2"/>
      <scheme val="minor"/>
    </font>
    <font>
      <b/>
      <sz val="11"/>
      <name val="Calibri"/>
      <family val="2"/>
      <scheme val="minor"/>
    </font>
    <font>
      <b/>
      <vertAlign val="subscript"/>
      <sz val="12"/>
      <color theme="1"/>
      <name val="Calibri"/>
      <family val="2"/>
      <scheme val="minor"/>
    </font>
    <font>
      <b/>
      <i/>
      <sz val="11"/>
      <color theme="1"/>
      <name val="Calibri"/>
      <family val="2"/>
      <scheme val="minor"/>
    </font>
    <font>
      <i/>
      <sz val="11"/>
      <name val="Calibri"/>
      <family val="2"/>
      <scheme val="minor"/>
    </font>
    <font>
      <i/>
      <sz val="11"/>
      <color theme="1"/>
      <name val="Calibri"/>
      <family val="2"/>
      <scheme val="minor"/>
    </font>
    <font>
      <b/>
      <sz val="11"/>
      <color rgb="FFC00000"/>
      <name val="Calibri"/>
      <family val="2"/>
      <scheme val="minor"/>
    </font>
    <font>
      <sz val="12"/>
      <color theme="1"/>
      <name val="Calibri"/>
      <family val="2"/>
      <scheme val="minor"/>
    </font>
  </fonts>
  <fills count="8">
    <fill>
      <patternFill patternType="none"/>
    </fill>
    <fill>
      <patternFill patternType="gray125"/>
    </fill>
    <fill>
      <patternFill patternType="solid">
        <fgColor theme="5" tint="0.59999389629810485"/>
        <bgColor indexed="64"/>
      </patternFill>
    </fill>
    <fill>
      <patternFill patternType="solid">
        <fgColor theme="7" tint="0.79998168889431442"/>
        <bgColor indexed="64"/>
      </patternFill>
    </fill>
    <fill>
      <patternFill patternType="solid">
        <fgColor rgb="FF99CCFF"/>
        <bgColor indexed="64"/>
      </patternFill>
    </fill>
    <fill>
      <patternFill patternType="solid">
        <fgColor theme="9" tint="0.59999389629810485"/>
        <bgColor indexed="64"/>
      </patternFill>
    </fill>
    <fill>
      <patternFill patternType="solid">
        <fgColor theme="0" tint="-4.9989318521683403E-2"/>
        <bgColor indexed="64"/>
      </patternFill>
    </fill>
    <fill>
      <patternFill patternType="solid">
        <fgColor theme="0" tint="-0.14999847407452621"/>
        <bgColor indexed="64"/>
      </patternFill>
    </fill>
  </fills>
  <borders count="5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top style="medium">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medium">
        <color indexed="64"/>
      </right>
      <top style="medium">
        <color indexed="64"/>
      </top>
      <bottom/>
      <diagonal/>
    </border>
    <border>
      <left style="thin">
        <color indexed="64"/>
      </left>
      <right style="medium">
        <color indexed="64"/>
      </right>
      <top/>
      <bottom style="medium">
        <color indexed="64"/>
      </bottom>
      <diagonal/>
    </border>
    <border>
      <left style="medium">
        <color indexed="64"/>
      </left>
      <right style="medium">
        <color indexed="64"/>
      </right>
      <top/>
      <bottom style="thin">
        <color indexed="64"/>
      </bottom>
      <diagonal/>
    </border>
    <border>
      <left/>
      <right style="medium">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thin">
        <color indexed="64"/>
      </left>
      <right style="thin">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style="thin">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s>
  <cellStyleXfs count="2">
    <xf numFmtId="0" fontId="0" fillId="0" borderId="0"/>
    <xf numFmtId="9" fontId="2" fillId="0" borderId="0" applyFont="0" applyFill="0" applyBorder="0" applyAlignment="0" applyProtection="0"/>
  </cellStyleXfs>
  <cellXfs count="280">
    <xf numFmtId="0" fontId="0" fillId="0" borderId="0" xfId="0"/>
    <xf numFmtId="0" fontId="0" fillId="0" borderId="0" xfId="0" applyAlignment="1">
      <alignment vertical="center"/>
    </xf>
    <xf numFmtId="0" fontId="0" fillId="0" borderId="0" xfId="0" applyAlignment="1">
      <alignment horizontal="center"/>
    </xf>
    <xf numFmtId="0" fontId="0" fillId="2" borderId="1" xfId="0" applyFill="1" applyBorder="1"/>
    <xf numFmtId="0" fontId="0" fillId="3" borderId="1" xfId="0" applyFill="1" applyBorder="1"/>
    <xf numFmtId="10" fontId="7" fillId="2" borderId="1" xfId="1" applyNumberFormat="1" applyFont="1" applyFill="1" applyBorder="1" applyAlignment="1">
      <alignment horizontal="right" vertical="center"/>
    </xf>
    <xf numFmtId="10" fontId="10" fillId="3" borderId="1" xfId="1" applyNumberFormat="1" applyFont="1" applyFill="1" applyBorder="1" applyAlignment="1">
      <alignment horizontal="right" vertical="center"/>
    </xf>
    <xf numFmtId="10" fontId="8" fillId="3" borderId="1" xfId="1" applyNumberFormat="1" applyFont="1" applyFill="1" applyBorder="1" applyAlignment="1">
      <alignment horizontal="right" vertical="center"/>
    </xf>
    <xf numFmtId="10" fontId="0" fillId="3" borderId="1" xfId="1" applyNumberFormat="1" applyFont="1" applyFill="1" applyBorder="1" applyAlignment="1">
      <alignment horizontal="right" vertical="center"/>
    </xf>
    <xf numFmtId="10" fontId="3" fillId="3" borderId="1" xfId="1" applyNumberFormat="1" applyFont="1" applyFill="1" applyBorder="1" applyAlignment="1">
      <alignment horizontal="right" vertical="center"/>
    </xf>
    <xf numFmtId="0" fontId="0" fillId="5" borderId="1" xfId="0" applyFill="1" applyBorder="1"/>
    <xf numFmtId="0" fontId="1" fillId="7" borderId="5" xfId="0" applyFont="1" applyFill="1" applyBorder="1" applyAlignment="1">
      <alignment horizontal="center"/>
    </xf>
    <xf numFmtId="0" fontId="1" fillId="7" borderId="5" xfId="0" applyFont="1" applyFill="1" applyBorder="1" applyAlignment="1">
      <alignment horizontal="center" vertical="center"/>
    </xf>
    <xf numFmtId="0" fontId="1" fillId="7" borderId="6" xfId="0" applyFont="1" applyFill="1" applyBorder="1"/>
    <xf numFmtId="0" fontId="1" fillId="7" borderId="7" xfId="0" applyFont="1" applyFill="1" applyBorder="1" applyAlignment="1">
      <alignment horizontal="center"/>
    </xf>
    <xf numFmtId="10" fontId="5" fillId="2" borderId="12" xfId="1" applyNumberFormat="1" applyFont="1" applyFill="1" applyBorder="1" applyAlignment="1">
      <alignment horizontal="right" vertical="center"/>
    </xf>
    <xf numFmtId="10" fontId="0" fillId="2" borderId="12" xfId="1" applyNumberFormat="1" applyFont="1" applyFill="1" applyBorder="1" applyAlignment="1">
      <alignment horizontal="right" vertical="center"/>
    </xf>
    <xf numFmtId="0" fontId="0" fillId="2" borderId="12" xfId="0" applyFill="1" applyBorder="1"/>
    <xf numFmtId="164" fontId="0" fillId="2" borderId="13" xfId="0" applyNumberFormat="1" applyFill="1" applyBorder="1"/>
    <xf numFmtId="164" fontId="0" fillId="3" borderId="15" xfId="0" applyNumberFormat="1" applyFill="1" applyBorder="1"/>
    <xf numFmtId="164" fontId="0" fillId="5" borderId="15" xfId="0" applyNumberFormat="1" applyFill="1" applyBorder="1"/>
    <xf numFmtId="0" fontId="0" fillId="5" borderId="17" xfId="0" applyFill="1" applyBorder="1"/>
    <xf numFmtId="164" fontId="0" fillId="5" borderId="18" xfId="0" applyNumberFormat="1" applyFill="1" applyBorder="1"/>
    <xf numFmtId="10" fontId="5" fillId="2" borderId="17" xfId="1" applyNumberFormat="1" applyFont="1" applyFill="1" applyBorder="1" applyAlignment="1">
      <alignment horizontal="right" vertical="center"/>
    </xf>
    <xf numFmtId="10" fontId="0" fillId="2" borderId="17" xfId="1" applyNumberFormat="1" applyFont="1" applyFill="1" applyBorder="1" applyAlignment="1">
      <alignment horizontal="right" vertical="center"/>
    </xf>
    <xf numFmtId="0" fontId="0" fillId="2" borderId="17" xfId="0" applyFill="1" applyBorder="1"/>
    <xf numFmtId="164" fontId="0" fillId="2" borderId="18" xfId="0" applyNumberFormat="1" applyFill="1" applyBorder="1"/>
    <xf numFmtId="0" fontId="0" fillId="5" borderId="2" xfId="0" applyFill="1" applyBorder="1" applyAlignment="1">
      <alignment vertical="center"/>
    </xf>
    <xf numFmtId="164" fontId="0" fillId="5" borderId="20" xfId="0" applyNumberFormat="1" applyFill="1" applyBorder="1"/>
    <xf numFmtId="10" fontId="10" fillId="3" borderId="12" xfId="1" applyNumberFormat="1" applyFont="1" applyFill="1" applyBorder="1" applyAlignment="1">
      <alignment horizontal="right" vertical="center"/>
    </xf>
    <xf numFmtId="0" fontId="0" fillId="3" borderId="12" xfId="0" applyFill="1" applyBorder="1"/>
    <xf numFmtId="10" fontId="3" fillId="3" borderId="17" xfId="1" applyNumberFormat="1" applyFont="1" applyFill="1" applyBorder="1" applyAlignment="1">
      <alignment horizontal="right" vertical="center"/>
    </xf>
    <xf numFmtId="0" fontId="0" fillId="3" borderId="17" xfId="0" applyFill="1" applyBorder="1"/>
    <xf numFmtId="9" fontId="0" fillId="6" borderId="4" xfId="0" applyNumberFormat="1" applyFill="1" applyBorder="1"/>
    <xf numFmtId="9" fontId="0" fillId="6" borderId="6" xfId="0" applyNumberFormat="1" applyFill="1" applyBorder="1"/>
    <xf numFmtId="9" fontId="0" fillId="6" borderId="3" xfId="1" applyFont="1" applyFill="1" applyBorder="1"/>
    <xf numFmtId="9" fontId="5" fillId="6" borderId="8" xfId="0" applyNumberFormat="1" applyFont="1" applyFill="1" applyBorder="1"/>
    <xf numFmtId="9" fontId="6" fillId="6" borderId="9" xfId="0" applyNumberFormat="1" applyFont="1" applyFill="1" applyBorder="1"/>
    <xf numFmtId="9" fontId="0" fillId="6" borderId="10" xfId="0" applyNumberFormat="1" applyFill="1" applyBorder="1"/>
    <xf numFmtId="9" fontId="0" fillId="6" borderId="8" xfId="0" applyNumberFormat="1" applyFill="1" applyBorder="1"/>
    <xf numFmtId="9" fontId="7" fillId="6" borderId="9" xfId="0" applyNumberFormat="1" applyFont="1" applyFill="1" applyBorder="1"/>
    <xf numFmtId="9" fontId="0" fillId="6" borderId="9" xfId="0" applyNumberFormat="1" applyFill="1" applyBorder="1"/>
    <xf numFmtId="9" fontId="9" fillId="6" borderId="9" xfId="0" applyNumberFormat="1" applyFont="1" applyFill="1" applyBorder="1"/>
    <xf numFmtId="9" fontId="8" fillId="6" borderId="9" xfId="0" applyNumberFormat="1" applyFont="1" applyFill="1" applyBorder="1"/>
    <xf numFmtId="9" fontId="3" fillId="6" borderId="9" xfId="0" applyNumberFormat="1" applyFont="1" applyFill="1" applyBorder="1"/>
    <xf numFmtId="0" fontId="11" fillId="0" borderId="0" xfId="0" applyFont="1"/>
    <xf numFmtId="10" fontId="0" fillId="5" borderId="2" xfId="1" applyNumberFormat="1" applyFont="1" applyFill="1" applyBorder="1" applyAlignment="1">
      <alignment horizontal="right" vertical="center"/>
    </xf>
    <xf numFmtId="10" fontId="0" fillId="5" borderId="1" xfId="1" applyNumberFormat="1" applyFont="1" applyFill="1" applyBorder="1" applyAlignment="1">
      <alignment horizontal="right" vertical="center"/>
    </xf>
    <xf numFmtId="10" fontId="0" fillId="5" borderId="17" xfId="1" applyNumberFormat="1" applyFont="1" applyFill="1" applyBorder="1" applyAlignment="1">
      <alignment horizontal="right" vertical="center"/>
    </xf>
    <xf numFmtId="10" fontId="6" fillId="3" borderId="1" xfId="1" applyNumberFormat="1" applyFont="1" applyFill="1" applyBorder="1" applyAlignment="1">
      <alignment horizontal="right" vertical="center"/>
    </xf>
    <xf numFmtId="0" fontId="0" fillId="2" borderId="12" xfId="0" applyFill="1" applyBorder="1" applyAlignment="1">
      <alignment horizontal="left" vertical="center"/>
    </xf>
    <xf numFmtId="0" fontId="0" fillId="2" borderId="17" xfId="0" applyFill="1" applyBorder="1" applyAlignment="1">
      <alignment horizontal="left"/>
    </xf>
    <xf numFmtId="0" fontId="0" fillId="3" borderId="1" xfId="0" applyFill="1" applyBorder="1" applyAlignment="1">
      <alignment horizontal="left" vertical="center"/>
    </xf>
    <xf numFmtId="0" fontId="1" fillId="7" borderId="23" xfId="0" applyFont="1" applyFill="1" applyBorder="1" applyAlignment="1">
      <alignment horizontal="center"/>
    </xf>
    <xf numFmtId="0" fontId="0" fillId="2" borderId="24" xfId="0" applyFill="1" applyBorder="1"/>
    <xf numFmtId="0" fontId="0" fillId="2" borderId="25" xfId="0" applyFill="1" applyBorder="1"/>
    <xf numFmtId="0" fontId="0" fillId="2" borderId="26" xfId="0" applyFill="1" applyBorder="1"/>
    <xf numFmtId="0" fontId="0" fillId="3" borderId="24" xfId="0" applyFill="1" applyBorder="1"/>
    <xf numFmtId="0" fontId="0" fillId="3" borderId="25" xfId="0" applyFill="1" applyBorder="1"/>
    <xf numFmtId="0" fontId="0" fillId="3" borderId="26" xfId="0" applyFill="1" applyBorder="1"/>
    <xf numFmtId="0" fontId="0" fillId="5" borderId="27" xfId="0" applyFill="1" applyBorder="1" applyAlignment="1">
      <alignment vertical="center"/>
    </xf>
    <xf numFmtId="0" fontId="0" fillId="5" borderId="25" xfId="0" applyFill="1" applyBorder="1" applyAlignment="1">
      <alignment vertical="center"/>
    </xf>
    <xf numFmtId="0" fontId="0" fillId="5" borderId="26" xfId="0" applyFill="1" applyBorder="1" applyAlignment="1">
      <alignment vertical="center"/>
    </xf>
    <xf numFmtId="0" fontId="1" fillId="7" borderId="4" xfId="0" applyFont="1" applyFill="1" applyBorder="1"/>
    <xf numFmtId="164" fontId="0" fillId="2" borderId="11" xfId="0" applyNumberFormat="1" applyFill="1" applyBorder="1"/>
    <xf numFmtId="164" fontId="0" fillId="2" borderId="14" xfId="0" applyNumberFormat="1" applyFill="1" applyBorder="1"/>
    <xf numFmtId="164" fontId="0" fillId="2" borderId="16" xfId="0" applyNumberFormat="1" applyFill="1" applyBorder="1"/>
    <xf numFmtId="164" fontId="0" fillId="3" borderId="11" xfId="0" applyNumberFormat="1" applyFill="1" applyBorder="1"/>
    <xf numFmtId="164" fontId="0" fillId="3" borderId="14" xfId="0" applyNumberFormat="1" applyFill="1" applyBorder="1"/>
    <xf numFmtId="164" fontId="0" fillId="3" borderId="16" xfId="0" applyNumberFormat="1" applyFill="1" applyBorder="1"/>
    <xf numFmtId="164" fontId="0" fillId="5" borderId="19" xfId="0" applyNumberFormat="1" applyFill="1" applyBorder="1"/>
    <xf numFmtId="164" fontId="0" fillId="5" borderId="14" xfId="0" applyNumberFormat="1" applyFill="1" applyBorder="1"/>
    <xf numFmtId="164" fontId="0" fillId="5" borderId="16" xfId="0" applyNumberFormat="1" applyFill="1" applyBorder="1"/>
    <xf numFmtId="9" fontId="0" fillId="0" borderId="0" xfId="0" applyNumberFormat="1"/>
    <xf numFmtId="0" fontId="0" fillId="0" borderId="1" xfId="0" applyBorder="1"/>
    <xf numFmtId="0" fontId="0" fillId="0" borderId="2" xfId="0" applyBorder="1"/>
    <xf numFmtId="0" fontId="0" fillId="0" borderId="17" xfId="0" applyBorder="1"/>
    <xf numFmtId="0" fontId="0" fillId="0" borderId="34" xfId="0" applyBorder="1"/>
    <xf numFmtId="0" fontId="0" fillId="0" borderId="9" xfId="0" applyBorder="1"/>
    <xf numFmtId="0" fontId="0" fillId="0" borderId="19" xfId="0" applyBorder="1"/>
    <xf numFmtId="0" fontId="0" fillId="0" borderId="20" xfId="0" applyBorder="1"/>
    <xf numFmtId="0" fontId="0" fillId="0" borderId="14" xfId="0" applyBorder="1"/>
    <xf numFmtId="0" fontId="0" fillId="0" borderId="15" xfId="0" applyBorder="1"/>
    <xf numFmtId="0" fontId="1" fillId="7" borderId="16" xfId="0" applyFont="1" applyFill="1" applyBorder="1" applyAlignment="1">
      <alignment horizontal="right"/>
    </xf>
    <xf numFmtId="0" fontId="1" fillId="7" borderId="17" xfId="0" applyFont="1" applyFill="1" applyBorder="1" applyAlignment="1">
      <alignment horizontal="right"/>
    </xf>
    <xf numFmtId="0" fontId="1" fillId="7" borderId="18" xfId="0" applyFont="1" applyFill="1" applyBorder="1" applyAlignment="1">
      <alignment horizontal="right"/>
    </xf>
    <xf numFmtId="0" fontId="1" fillId="7" borderId="16" xfId="0" applyFont="1" applyFill="1" applyBorder="1"/>
    <xf numFmtId="0" fontId="1" fillId="7" borderId="18" xfId="0" applyFont="1" applyFill="1" applyBorder="1"/>
    <xf numFmtId="0" fontId="0" fillId="0" borderId="12" xfId="0" applyBorder="1"/>
    <xf numFmtId="2" fontId="0" fillId="0" borderId="13" xfId="0" applyNumberFormat="1" applyBorder="1"/>
    <xf numFmtId="2" fontId="0" fillId="0" borderId="15" xfId="0" applyNumberFormat="1" applyBorder="1"/>
    <xf numFmtId="2" fontId="0" fillId="0" borderId="18" xfId="0" applyNumberFormat="1" applyBorder="1"/>
    <xf numFmtId="0" fontId="1" fillId="4" borderId="8" xfId="0" applyFont="1" applyFill="1" applyBorder="1" applyAlignment="1">
      <alignment horizontal="center"/>
    </xf>
    <xf numFmtId="10" fontId="0" fillId="5" borderId="12" xfId="1" applyNumberFormat="1" applyFont="1" applyFill="1" applyBorder="1" applyAlignment="1">
      <alignment horizontal="right" vertical="center"/>
    </xf>
    <xf numFmtId="0" fontId="0" fillId="5" borderId="12" xfId="0" applyFill="1" applyBorder="1" applyAlignment="1">
      <alignment vertical="center"/>
    </xf>
    <xf numFmtId="9" fontId="0" fillId="0" borderId="0" xfId="1" applyFont="1" applyFill="1" applyBorder="1"/>
    <xf numFmtId="9" fontId="5" fillId="0" borderId="0" xfId="0" applyNumberFormat="1" applyFont="1"/>
    <xf numFmtId="9" fontId="6" fillId="0" borderId="0" xfId="0" applyNumberFormat="1" applyFont="1"/>
    <xf numFmtId="9" fontId="7" fillId="0" borderId="0" xfId="0" applyNumberFormat="1" applyFont="1"/>
    <xf numFmtId="9" fontId="9" fillId="0" borderId="0" xfId="0" applyNumberFormat="1" applyFont="1"/>
    <xf numFmtId="9" fontId="8" fillId="0" borderId="0" xfId="0" applyNumberFormat="1" applyFont="1"/>
    <xf numFmtId="9" fontId="3" fillId="0" borderId="0" xfId="0" applyNumberFormat="1" applyFont="1"/>
    <xf numFmtId="10" fontId="4" fillId="2" borderId="41" xfId="0" applyNumberFormat="1" applyFont="1" applyFill="1" applyBorder="1" applyAlignment="1">
      <alignment horizontal="right" vertical="center"/>
    </xf>
    <xf numFmtId="10" fontId="4" fillId="3" borderId="41" xfId="0" applyNumberFormat="1" applyFont="1" applyFill="1" applyBorder="1" applyAlignment="1">
      <alignment horizontal="right" vertical="center"/>
    </xf>
    <xf numFmtId="0" fontId="1" fillId="7" borderId="4" xfId="0" applyFont="1" applyFill="1" applyBorder="1" applyAlignment="1">
      <alignment horizontal="center"/>
    </xf>
    <xf numFmtId="10" fontId="4" fillId="2" borderId="28" xfId="0" applyNumberFormat="1" applyFont="1" applyFill="1" applyBorder="1" applyAlignment="1">
      <alignment horizontal="right" vertical="center"/>
    </xf>
    <xf numFmtId="10" fontId="4" fillId="2" borderId="29" xfId="0" applyNumberFormat="1" applyFont="1" applyFill="1" applyBorder="1" applyAlignment="1">
      <alignment horizontal="right" vertical="center"/>
    </xf>
    <xf numFmtId="10" fontId="4" fillId="3" borderId="28" xfId="0" applyNumberFormat="1" applyFont="1" applyFill="1" applyBorder="1" applyAlignment="1">
      <alignment horizontal="right" vertical="center"/>
    </xf>
    <xf numFmtId="10" fontId="4" fillId="3" borderId="29" xfId="0" applyNumberFormat="1" applyFont="1" applyFill="1" applyBorder="1" applyAlignment="1">
      <alignment horizontal="right" vertical="center"/>
    </xf>
    <xf numFmtId="10" fontId="4" fillId="5" borderId="29" xfId="0" applyNumberFormat="1" applyFont="1" applyFill="1" applyBorder="1" applyAlignment="1">
      <alignment horizontal="right" vertical="center"/>
    </xf>
    <xf numFmtId="10" fontId="14" fillId="2" borderId="41" xfId="0" applyNumberFormat="1" applyFont="1" applyFill="1" applyBorder="1" applyAlignment="1">
      <alignment horizontal="center" vertical="center"/>
    </xf>
    <xf numFmtId="10" fontId="14" fillId="3" borderId="41" xfId="0" applyNumberFormat="1" applyFont="1" applyFill="1" applyBorder="1" applyAlignment="1">
      <alignment horizontal="center" vertical="center"/>
    </xf>
    <xf numFmtId="10" fontId="14" fillId="5" borderId="28" xfId="0" applyNumberFormat="1" applyFont="1" applyFill="1" applyBorder="1" applyAlignment="1">
      <alignment horizontal="center" vertical="center"/>
    </xf>
    <xf numFmtId="0" fontId="1" fillId="7" borderId="6" xfId="0" applyFont="1" applyFill="1" applyBorder="1" applyAlignment="1">
      <alignment horizontal="center"/>
    </xf>
    <xf numFmtId="0" fontId="0" fillId="2" borderId="13" xfId="0" applyFill="1" applyBorder="1"/>
    <xf numFmtId="0" fontId="0" fillId="2" borderId="15" xfId="0" applyFill="1" applyBorder="1"/>
    <xf numFmtId="0" fontId="0" fillId="2" borderId="18" xfId="0" applyFill="1" applyBorder="1"/>
    <xf numFmtId="0" fontId="0" fillId="3" borderId="13" xfId="0" applyFill="1" applyBorder="1"/>
    <xf numFmtId="0" fontId="0" fillId="3" borderId="15" xfId="0" applyFill="1" applyBorder="1"/>
    <xf numFmtId="0" fontId="0" fillId="3" borderId="18" xfId="0" applyFill="1" applyBorder="1"/>
    <xf numFmtId="0" fontId="0" fillId="5" borderId="13" xfId="0" applyFill="1" applyBorder="1" applyAlignment="1">
      <alignment vertical="center"/>
    </xf>
    <xf numFmtId="0" fontId="0" fillId="5" borderId="15" xfId="0" applyFill="1" applyBorder="1" applyAlignment="1">
      <alignment vertical="center"/>
    </xf>
    <xf numFmtId="0" fontId="0" fillId="5" borderId="18" xfId="0" applyFill="1" applyBorder="1" applyAlignment="1">
      <alignment vertical="center"/>
    </xf>
    <xf numFmtId="0" fontId="0" fillId="2" borderId="24" xfId="0" applyFill="1" applyBorder="1" applyAlignment="1">
      <alignment horizontal="right"/>
    </xf>
    <xf numFmtId="0" fontId="0" fillId="2" borderId="25" xfId="0" applyFill="1" applyBorder="1" applyAlignment="1">
      <alignment horizontal="right"/>
    </xf>
    <xf numFmtId="0" fontId="0" fillId="2" borderId="26" xfId="0" applyFill="1" applyBorder="1" applyAlignment="1">
      <alignment horizontal="right"/>
    </xf>
    <xf numFmtId="0" fontId="0" fillId="3" borderId="24" xfId="0" applyFill="1" applyBorder="1" applyAlignment="1">
      <alignment horizontal="right"/>
    </xf>
    <xf numFmtId="0" fontId="0" fillId="3" borderId="25" xfId="0" applyFill="1" applyBorder="1" applyAlignment="1">
      <alignment horizontal="right"/>
    </xf>
    <xf numFmtId="0" fontId="0" fillId="3" borderId="26" xfId="0" applyFill="1" applyBorder="1" applyAlignment="1">
      <alignment horizontal="right"/>
    </xf>
    <xf numFmtId="0" fontId="0" fillId="5" borderId="24" xfId="0" applyFill="1" applyBorder="1" applyAlignment="1">
      <alignment horizontal="right" vertical="center"/>
    </xf>
    <xf numFmtId="0" fontId="0" fillId="5" borderId="25" xfId="0" applyFill="1" applyBorder="1" applyAlignment="1">
      <alignment horizontal="right"/>
    </xf>
    <xf numFmtId="0" fontId="0" fillId="5" borderId="26" xfId="0" applyFill="1" applyBorder="1" applyAlignment="1">
      <alignment horizontal="right"/>
    </xf>
    <xf numFmtId="2" fontId="0" fillId="3" borderId="25" xfId="0" applyNumberFormat="1" applyFill="1" applyBorder="1" applyAlignment="1">
      <alignment horizontal="center"/>
    </xf>
    <xf numFmtId="2" fontId="0" fillId="2" borderId="24" xfId="0" applyNumberFormat="1" applyFill="1" applyBorder="1" applyAlignment="1">
      <alignment horizontal="center"/>
    </xf>
    <xf numFmtId="2" fontId="0" fillId="2" borderId="25" xfId="0" applyNumberFormat="1" applyFill="1" applyBorder="1" applyAlignment="1">
      <alignment horizontal="center"/>
    </xf>
    <xf numFmtId="2" fontId="0" fillId="2" borderId="26" xfId="0" applyNumberFormat="1" applyFill="1" applyBorder="1" applyAlignment="1">
      <alignment horizontal="center"/>
    </xf>
    <xf numFmtId="2" fontId="0" fillId="3" borderId="24" xfId="0" applyNumberFormat="1" applyFill="1" applyBorder="1" applyAlignment="1">
      <alignment horizontal="center"/>
    </xf>
    <xf numFmtId="2" fontId="0" fillId="3" borderId="26" xfId="0" applyNumberFormat="1" applyFill="1" applyBorder="1" applyAlignment="1">
      <alignment horizontal="center"/>
    </xf>
    <xf numFmtId="2" fontId="0" fillId="5" borderId="24" xfId="0" applyNumberFormat="1" applyFill="1" applyBorder="1" applyAlignment="1">
      <alignment horizontal="center" vertical="center"/>
    </xf>
    <xf numFmtId="2" fontId="0" fillId="5" borderId="25" xfId="0" applyNumberFormat="1" applyFill="1" applyBorder="1" applyAlignment="1">
      <alignment horizontal="center"/>
    </xf>
    <xf numFmtId="2" fontId="0" fillId="5" borderId="26" xfId="0" applyNumberFormat="1" applyFill="1" applyBorder="1" applyAlignment="1">
      <alignment horizontal="center"/>
    </xf>
    <xf numFmtId="0" fontId="0" fillId="0" borderId="0" xfId="0" applyAlignment="1">
      <alignment horizontal="right"/>
    </xf>
    <xf numFmtId="164" fontId="1" fillId="4" borderId="10" xfId="0" applyNumberFormat="1" applyFont="1" applyFill="1" applyBorder="1" applyAlignment="1">
      <alignment horizontal="center"/>
    </xf>
    <xf numFmtId="164" fontId="14" fillId="2" borderId="41" xfId="0" applyNumberFormat="1" applyFont="1" applyFill="1" applyBorder="1" applyAlignment="1">
      <alignment horizontal="center" vertical="center"/>
    </xf>
    <xf numFmtId="164" fontId="14" fillId="3" borderId="41" xfId="0" applyNumberFormat="1" applyFont="1" applyFill="1" applyBorder="1" applyAlignment="1">
      <alignment horizontal="center" vertical="center"/>
    </xf>
    <xf numFmtId="164" fontId="14" fillId="5" borderId="41" xfId="0" applyNumberFormat="1" applyFont="1" applyFill="1" applyBorder="1" applyAlignment="1">
      <alignment horizontal="center" vertical="center"/>
    </xf>
    <xf numFmtId="0" fontId="0" fillId="0" borderId="1" xfId="0" applyBorder="1" applyAlignment="1">
      <alignment horizontal="center"/>
    </xf>
    <xf numFmtId="0" fontId="0" fillId="0" borderId="15" xfId="0" applyBorder="1" applyAlignment="1">
      <alignment horizontal="center"/>
    </xf>
    <xf numFmtId="0" fontId="16" fillId="0" borderId="11" xfId="0" applyFont="1" applyBorder="1"/>
    <xf numFmtId="0" fontId="16" fillId="0" borderId="12" xfId="0" applyFont="1" applyBorder="1"/>
    <xf numFmtId="0" fontId="16" fillId="0" borderId="13" xfId="0" applyFont="1" applyBorder="1"/>
    <xf numFmtId="0" fontId="0" fillId="0" borderId="50" xfId="0" applyBorder="1"/>
    <xf numFmtId="0" fontId="0" fillId="0" borderId="51" xfId="0" applyBorder="1" applyAlignment="1">
      <alignment horizontal="center"/>
    </xf>
    <xf numFmtId="0" fontId="0" fillId="0" borderId="21" xfId="0" applyBorder="1" applyAlignment="1">
      <alignment horizontal="center"/>
    </xf>
    <xf numFmtId="0" fontId="16" fillId="0" borderId="36" xfId="0" applyFont="1" applyBorder="1" applyAlignment="1">
      <alignment horizontal="right"/>
    </xf>
    <xf numFmtId="165" fontId="16" fillId="0" borderId="37" xfId="0" applyNumberFormat="1" applyFont="1" applyBorder="1"/>
    <xf numFmtId="165" fontId="16" fillId="0" borderId="52" xfId="0" applyNumberFormat="1" applyFont="1" applyBorder="1" applyAlignment="1">
      <alignment horizontal="left"/>
    </xf>
    <xf numFmtId="2" fontId="4" fillId="3" borderId="25" xfId="0" applyNumberFormat="1" applyFont="1" applyFill="1" applyBorder="1" applyAlignment="1">
      <alignment horizontal="center"/>
    </xf>
    <xf numFmtId="0" fontId="0" fillId="0" borderId="0" xfId="0" applyAlignment="1">
      <alignment vertical="top"/>
    </xf>
    <xf numFmtId="0" fontId="0" fillId="0" borderId="54" xfId="0" applyBorder="1"/>
    <xf numFmtId="0" fontId="0" fillId="0" borderId="51" xfId="0" applyBorder="1"/>
    <xf numFmtId="0" fontId="0" fillId="0" borderId="21" xfId="0" applyBorder="1"/>
    <xf numFmtId="0" fontId="0" fillId="0" borderId="5" xfId="0" applyBorder="1"/>
    <xf numFmtId="0" fontId="0" fillId="0" borderId="6" xfId="0" applyBorder="1"/>
    <xf numFmtId="0" fontId="0" fillId="0" borderId="3" xfId="0" applyBorder="1"/>
    <xf numFmtId="0" fontId="0" fillId="0" borderId="4" xfId="0" applyBorder="1"/>
    <xf numFmtId="0" fontId="11" fillId="7" borderId="55" xfId="0" applyFont="1" applyFill="1" applyBorder="1" applyAlignment="1">
      <alignment vertical="top"/>
    </xf>
    <xf numFmtId="0" fontId="11" fillId="7" borderId="53" xfId="0" applyFont="1" applyFill="1" applyBorder="1" applyAlignment="1">
      <alignment vertical="top"/>
    </xf>
    <xf numFmtId="0" fontId="11" fillId="7" borderId="56" xfId="0" applyFont="1" applyFill="1" applyBorder="1" applyAlignment="1">
      <alignment vertical="top"/>
    </xf>
    <xf numFmtId="0" fontId="0" fillId="0" borderId="8" xfId="0" applyBorder="1" applyAlignment="1">
      <alignment vertical="top" wrapText="1"/>
    </xf>
    <xf numFmtId="0" fontId="20" fillId="0" borderId="9" xfId="0" applyFont="1" applyBorder="1" applyAlignment="1">
      <alignment vertical="top" wrapText="1"/>
    </xf>
    <xf numFmtId="0" fontId="20" fillId="0" borderId="10" xfId="0" applyFont="1" applyBorder="1" applyAlignment="1">
      <alignment vertical="top" wrapText="1"/>
    </xf>
    <xf numFmtId="0" fontId="1" fillId="4" borderId="8" xfId="0" applyFont="1" applyFill="1" applyBorder="1" applyAlignment="1">
      <alignment horizontal="center" vertical="center" textRotation="90"/>
    </xf>
    <xf numFmtId="0" fontId="1" fillId="4" borderId="9" xfId="0" applyFont="1" applyFill="1" applyBorder="1" applyAlignment="1">
      <alignment horizontal="center" vertical="center" textRotation="90"/>
    </xf>
    <xf numFmtId="0" fontId="1" fillId="4" borderId="10" xfId="0" applyFont="1" applyFill="1" applyBorder="1" applyAlignment="1">
      <alignment horizontal="center" vertical="center" textRotation="90"/>
    </xf>
    <xf numFmtId="10" fontId="4" fillId="2" borderId="11" xfId="0" applyNumberFormat="1" applyFont="1" applyFill="1" applyBorder="1" applyAlignment="1">
      <alignment horizontal="right" vertical="center"/>
    </xf>
    <xf numFmtId="10" fontId="4" fillId="2" borderId="14" xfId="0" applyNumberFormat="1" applyFont="1" applyFill="1" applyBorder="1" applyAlignment="1">
      <alignment horizontal="right" vertical="center"/>
    </xf>
    <xf numFmtId="10" fontId="4" fillId="2" borderId="16" xfId="0" applyNumberFormat="1" applyFont="1" applyFill="1" applyBorder="1" applyAlignment="1">
      <alignment horizontal="right" vertical="center"/>
    </xf>
    <xf numFmtId="0" fontId="0" fillId="2" borderId="12" xfId="0" applyFill="1" applyBorder="1" applyAlignment="1">
      <alignment horizontal="center" vertical="center" wrapText="1"/>
    </xf>
    <xf numFmtId="0" fontId="0" fillId="2" borderId="1" xfId="0" applyFill="1" applyBorder="1" applyAlignment="1">
      <alignment horizontal="center" vertical="center" wrapText="1"/>
    </xf>
    <xf numFmtId="0" fontId="0" fillId="2" borderId="17" xfId="0" applyFill="1" applyBorder="1" applyAlignment="1">
      <alignment horizontal="center" vertical="center" wrapText="1"/>
    </xf>
    <xf numFmtId="10" fontId="5" fillId="2" borderId="1" xfId="1" applyNumberFormat="1" applyFont="1" applyFill="1" applyBorder="1" applyAlignment="1">
      <alignment horizontal="right" vertical="center"/>
    </xf>
    <xf numFmtId="0" fontId="0" fillId="2" borderId="1" xfId="0" applyFill="1" applyBorder="1" applyAlignment="1">
      <alignment horizontal="left" vertical="center"/>
    </xf>
    <xf numFmtId="10" fontId="6" fillId="3" borderId="1" xfId="1" applyNumberFormat="1" applyFont="1" applyFill="1" applyBorder="1" applyAlignment="1">
      <alignment horizontal="right" vertical="center"/>
    </xf>
    <xf numFmtId="0" fontId="0" fillId="3" borderId="1" xfId="0" applyFill="1" applyBorder="1" applyAlignment="1">
      <alignment horizontal="left" vertical="center" wrapText="1"/>
    </xf>
    <xf numFmtId="10" fontId="6" fillId="3" borderId="17" xfId="1" applyNumberFormat="1" applyFont="1" applyFill="1" applyBorder="1" applyAlignment="1">
      <alignment horizontal="right" vertical="center"/>
    </xf>
    <xf numFmtId="0" fontId="0" fillId="3" borderId="1" xfId="0" applyFill="1" applyBorder="1" applyAlignment="1">
      <alignment horizontal="left" vertical="center"/>
    </xf>
    <xf numFmtId="0" fontId="0" fillId="3" borderId="17" xfId="0" applyFill="1" applyBorder="1" applyAlignment="1">
      <alignment horizontal="left" vertical="center"/>
    </xf>
    <xf numFmtId="10" fontId="4" fillId="5" borderId="19" xfId="0" applyNumberFormat="1" applyFont="1" applyFill="1" applyBorder="1" applyAlignment="1">
      <alignment horizontal="right" vertical="center"/>
    </xf>
    <xf numFmtId="10" fontId="4" fillId="5" borderId="14" xfId="0" applyNumberFormat="1" applyFont="1" applyFill="1" applyBorder="1" applyAlignment="1">
      <alignment horizontal="right" vertical="center"/>
    </xf>
    <xf numFmtId="10" fontId="4" fillId="5" borderId="16" xfId="0" applyNumberFormat="1" applyFont="1" applyFill="1" applyBorder="1" applyAlignment="1">
      <alignment horizontal="right" vertical="center"/>
    </xf>
    <xf numFmtId="0" fontId="0" fillId="5" borderId="2" xfId="0" applyFill="1" applyBorder="1" applyAlignment="1">
      <alignment horizontal="center" vertical="center" wrapText="1"/>
    </xf>
    <xf numFmtId="0" fontId="0" fillId="5" borderId="1" xfId="0" applyFill="1" applyBorder="1" applyAlignment="1">
      <alignment horizontal="center" vertical="center" wrapText="1"/>
    </xf>
    <xf numFmtId="0" fontId="0" fillId="5" borderId="17" xfId="0" applyFill="1" applyBorder="1" applyAlignment="1">
      <alignment horizontal="center" vertical="center" wrapText="1"/>
    </xf>
    <xf numFmtId="10" fontId="0" fillId="5" borderId="2" xfId="1" applyNumberFormat="1" applyFont="1" applyFill="1" applyBorder="1" applyAlignment="1">
      <alignment horizontal="right" vertical="center"/>
    </xf>
    <xf numFmtId="10" fontId="0" fillId="5" borderId="1" xfId="1" applyNumberFormat="1" applyFont="1" applyFill="1" applyBorder="1" applyAlignment="1">
      <alignment horizontal="right" vertical="center"/>
    </xf>
    <xf numFmtId="10" fontId="0" fillId="5" borderId="17" xfId="1" applyNumberFormat="1" applyFont="1" applyFill="1" applyBorder="1" applyAlignment="1">
      <alignment horizontal="right" vertical="center"/>
    </xf>
    <xf numFmtId="0" fontId="0" fillId="5" borderId="2" xfId="0" applyFill="1" applyBorder="1" applyAlignment="1">
      <alignment horizontal="left" vertical="center" wrapText="1"/>
    </xf>
    <xf numFmtId="0" fontId="0" fillId="5" borderId="1" xfId="0" applyFill="1" applyBorder="1" applyAlignment="1">
      <alignment horizontal="left" vertical="center" wrapText="1"/>
    </xf>
    <xf numFmtId="0" fontId="0" fillId="5" borderId="17" xfId="0" applyFill="1" applyBorder="1" applyAlignment="1">
      <alignment horizontal="left" vertical="center" wrapText="1"/>
    </xf>
    <xf numFmtId="164" fontId="0" fillId="2" borderId="15" xfId="0" applyNumberFormat="1" applyFill="1" applyBorder="1" applyAlignment="1">
      <alignment horizontal="right" vertical="center"/>
    </xf>
    <xf numFmtId="10" fontId="4" fillId="3" borderId="11" xfId="0" applyNumberFormat="1" applyFont="1" applyFill="1" applyBorder="1" applyAlignment="1">
      <alignment horizontal="right" vertical="center"/>
    </xf>
    <xf numFmtId="10" fontId="4" fillId="3" borderId="14" xfId="0" applyNumberFormat="1" applyFont="1" applyFill="1" applyBorder="1" applyAlignment="1">
      <alignment horizontal="right" vertical="center"/>
    </xf>
    <xf numFmtId="10" fontId="4" fillId="3" borderId="16" xfId="0" applyNumberFormat="1" applyFont="1" applyFill="1" applyBorder="1" applyAlignment="1">
      <alignment horizontal="right" vertical="center"/>
    </xf>
    <xf numFmtId="0" fontId="0" fillId="3" borderId="12" xfId="0" applyFill="1" applyBorder="1" applyAlignment="1">
      <alignment horizontal="center" vertical="center" wrapText="1"/>
    </xf>
    <xf numFmtId="0" fontId="0" fillId="3" borderId="1" xfId="0" applyFill="1" applyBorder="1" applyAlignment="1">
      <alignment horizontal="center" vertical="center" wrapText="1"/>
    </xf>
    <xf numFmtId="0" fontId="0" fillId="3" borderId="17" xfId="0" applyFill="1" applyBorder="1" applyAlignment="1">
      <alignment horizontal="center" vertical="center" wrapText="1"/>
    </xf>
    <xf numFmtId="10" fontId="6" fillId="3" borderId="12" xfId="1" applyNumberFormat="1" applyFont="1" applyFill="1" applyBorder="1" applyAlignment="1">
      <alignment horizontal="right" vertical="center"/>
    </xf>
    <xf numFmtId="0" fontId="0" fillId="3" borderId="12" xfId="0" applyFill="1" applyBorder="1" applyAlignment="1">
      <alignment horizontal="left" vertical="center" wrapText="1"/>
    </xf>
    <xf numFmtId="164" fontId="0" fillId="3" borderId="13" xfId="0" applyNumberFormat="1" applyFill="1" applyBorder="1" applyAlignment="1">
      <alignment horizontal="right" vertical="center"/>
    </xf>
    <xf numFmtId="164" fontId="0" fillId="3" borderId="15" xfId="0" applyNumberFormat="1" applyFill="1" applyBorder="1" applyAlignment="1">
      <alignment horizontal="right" vertical="center"/>
    </xf>
    <xf numFmtId="164" fontId="0" fillId="3" borderId="21" xfId="0" applyNumberFormat="1" applyFill="1" applyBorder="1" applyAlignment="1">
      <alignment horizontal="right" vertical="center"/>
    </xf>
    <xf numFmtId="164" fontId="0" fillId="3" borderId="22" xfId="0" applyNumberFormat="1" applyFill="1" applyBorder="1" applyAlignment="1">
      <alignment horizontal="right" vertical="center"/>
    </xf>
    <xf numFmtId="164" fontId="0" fillId="3" borderId="20" xfId="0" applyNumberFormat="1" applyFill="1" applyBorder="1" applyAlignment="1">
      <alignment horizontal="right" vertical="center"/>
    </xf>
    <xf numFmtId="164" fontId="0" fillId="3" borderId="18" xfId="0" applyNumberFormat="1" applyFill="1" applyBorder="1" applyAlignment="1">
      <alignment horizontal="right" vertical="center"/>
    </xf>
    <xf numFmtId="10" fontId="0" fillId="5" borderId="28" xfId="1" applyNumberFormat="1" applyFont="1" applyFill="1" applyBorder="1" applyAlignment="1">
      <alignment horizontal="right" vertical="center"/>
    </xf>
    <xf numFmtId="10" fontId="0" fillId="5" borderId="29" xfId="1" applyNumberFormat="1" applyFont="1" applyFill="1" applyBorder="1" applyAlignment="1">
      <alignment horizontal="right" vertical="center"/>
    </xf>
    <xf numFmtId="164" fontId="0" fillId="5" borderId="32" xfId="0" applyNumberFormat="1" applyFill="1" applyBorder="1" applyAlignment="1">
      <alignment horizontal="right" vertical="center"/>
    </xf>
    <xf numFmtId="164" fontId="0" fillId="5" borderId="33" xfId="0" applyNumberFormat="1" applyFill="1" applyBorder="1" applyAlignment="1">
      <alignment horizontal="right" vertical="center"/>
    </xf>
    <xf numFmtId="0" fontId="0" fillId="5" borderId="32" xfId="0" applyFill="1" applyBorder="1" applyAlignment="1">
      <alignment horizontal="left" vertical="center"/>
    </xf>
    <xf numFmtId="0" fontId="0" fillId="5" borderId="33" xfId="0" applyFill="1" applyBorder="1" applyAlignment="1">
      <alignment horizontal="left" vertical="center"/>
    </xf>
    <xf numFmtId="0" fontId="0" fillId="5" borderId="28" xfId="0" applyFill="1" applyBorder="1" applyAlignment="1">
      <alignment horizontal="left" vertical="center"/>
    </xf>
    <xf numFmtId="0" fontId="0" fillId="5" borderId="29" xfId="0" applyFill="1" applyBorder="1" applyAlignment="1">
      <alignment horizontal="left" vertical="center"/>
    </xf>
    <xf numFmtId="164" fontId="0" fillId="5" borderId="30" xfId="0" applyNumberFormat="1" applyFill="1" applyBorder="1" applyAlignment="1">
      <alignment horizontal="right" vertical="center"/>
    </xf>
    <xf numFmtId="164" fontId="0" fillId="5" borderId="31" xfId="0" applyNumberFormat="1" applyFill="1" applyBorder="1" applyAlignment="1">
      <alignment horizontal="right" vertical="center"/>
    </xf>
    <xf numFmtId="0" fontId="1" fillId="7" borderId="11" xfId="0" applyFont="1" applyFill="1" applyBorder="1" applyAlignment="1">
      <alignment horizontal="center"/>
    </xf>
    <xf numFmtId="0" fontId="1" fillId="7" borderId="12" xfId="0" applyFont="1" applyFill="1" applyBorder="1" applyAlignment="1">
      <alignment horizontal="center"/>
    </xf>
    <xf numFmtId="0" fontId="1" fillId="7" borderId="13" xfId="0" applyFont="1" applyFill="1" applyBorder="1" applyAlignment="1">
      <alignment horizontal="center"/>
    </xf>
    <xf numFmtId="0" fontId="1" fillId="7" borderId="8" xfId="0" applyFont="1" applyFill="1" applyBorder="1" applyAlignment="1">
      <alignment horizontal="left" vertical="center"/>
    </xf>
    <xf numFmtId="0" fontId="1" fillId="7" borderId="10" xfId="0" applyFont="1" applyFill="1" applyBorder="1" applyAlignment="1">
      <alignment horizontal="left" vertical="center"/>
    </xf>
    <xf numFmtId="0" fontId="1" fillId="7" borderId="13" xfId="0" applyFont="1" applyFill="1" applyBorder="1" applyAlignment="1">
      <alignment horizontal="center" vertical="center" wrapText="1"/>
    </xf>
    <xf numFmtId="0" fontId="1" fillId="7" borderId="18" xfId="0" applyFont="1" applyFill="1" applyBorder="1" applyAlignment="1">
      <alignment horizontal="center" vertical="center" wrapText="1"/>
    </xf>
    <xf numFmtId="0" fontId="1" fillId="7" borderId="12" xfId="0" applyFont="1" applyFill="1" applyBorder="1" applyAlignment="1">
      <alignment horizontal="left" vertical="center"/>
    </xf>
    <xf numFmtId="0" fontId="1" fillId="7" borderId="17" xfId="0" applyFont="1" applyFill="1" applyBorder="1" applyAlignment="1">
      <alignment horizontal="left" vertical="center"/>
    </xf>
    <xf numFmtId="0" fontId="1" fillId="7" borderId="11" xfId="0" applyFont="1" applyFill="1" applyBorder="1" applyAlignment="1">
      <alignment horizontal="left" vertical="center" wrapText="1"/>
    </xf>
    <xf numFmtId="0" fontId="1" fillId="7" borderId="16" xfId="0" applyFont="1" applyFill="1" applyBorder="1" applyAlignment="1">
      <alignment horizontal="left" vertical="center" wrapText="1"/>
    </xf>
    <xf numFmtId="0" fontId="0" fillId="0" borderId="14" xfId="0" applyBorder="1" applyAlignment="1">
      <alignment horizontal="left" vertical="top"/>
    </xf>
    <xf numFmtId="0" fontId="0" fillId="0" borderId="16" xfId="0" applyBorder="1" applyAlignment="1">
      <alignment horizontal="left" vertical="top"/>
    </xf>
    <xf numFmtId="0" fontId="0" fillId="0" borderId="11" xfId="0" applyBorder="1" applyAlignment="1">
      <alignment horizontal="left" vertical="top" wrapText="1"/>
    </xf>
    <xf numFmtId="0" fontId="0" fillId="0" borderId="14" xfId="0" applyBorder="1" applyAlignment="1">
      <alignment horizontal="left" vertical="top" wrapText="1"/>
    </xf>
    <xf numFmtId="0" fontId="1" fillId="7" borderId="42" xfId="0" applyFont="1" applyFill="1" applyBorder="1" applyAlignment="1">
      <alignment horizontal="left"/>
    </xf>
    <xf numFmtId="0" fontId="1" fillId="7" borderId="43" xfId="0" applyFont="1" applyFill="1" applyBorder="1" applyAlignment="1">
      <alignment horizontal="left"/>
    </xf>
    <xf numFmtId="0" fontId="1" fillId="7" borderId="44" xfId="0" applyFont="1" applyFill="1" applyBorder="1" applyAlignment="1">
      <alignment horizontal="left"/>
    </xf>
    <xf numFmtId="0" fontId="1" fillId="7" borderId="45" xfId="0" applyFont="1" applyFill="1" applyBorder="1" applyAlignment="1">
      <alignment horizontal="left"/>
    </xf>
    <xf numFmtId="0" fontId="1" fillId="7" borderId="0" xfId="0" applyFont="1" applyFill="1" applyAlignment="1">
      <alignment horizontal="left"/>
    </xf>
    <xf numFmtId="0" fontId="1" fillId="7" borderId="46" xfId="0" applyFont="1" applyFill="1" applyBorder="1" applyAlignment="1">
      <alignment horizontal="left"/>
    </xf>
    <xf numFmtId="0" fontId="1" fillId="7" borderId="47" xfId="0" applyFont="1" applyFill="1" applyBorder="1" applyAlignment="1">
      <alignment horizontal="left"/>
    </xf>
    <xf numFmtId="0" fontId="1" fillId="7" borderId="48" xfId="0" applyFont="1" applyFill="1" applyBorder="1" applyAlignment="1">
      <alignment horizontal="left"/>
    </xf>
    <xf numFmtId="0" fontId="1" fillId="7" borderId="49" xfId="0" applyFont="1" applyFill="1" applyBorder="1" applyAlignment="1">
      <alignment horizontal="left"/>
    </xf>
    <xf numFmtId="10" fontId="4" fillId="5" borderId="38" xfId="0" applyNumberFormat="1" applyFont="1" applyFill="1" applyBorder="1" applyAlignment="1">
      <alignment horizontal="right" vertical="center"/>
    </xf>
    <xf numFmtId="10" fontId="4" fillId="5" borderId="39" xfId="0" applyNumberFormat="1" applyFont="1" applyFill="1" applyBorder="1" applyAlignment="1">
      <alignment horizontal="right" vertical="center"/>
    </xf>
    <xf numFmtId="10" fontId="4" fillId="5" borderId="40" xfId="0" applyNumberFormat="1" applyFont="1" applyFill="1" applyBorder="1" applyAlignment="1">
      <alignment horizontal="right" vertical="center"/>
    </xf>
    <xf numFmtId="10" fontId="0" fillId="5" borderId="12" xfId="1" applyNumberFormat="1" applyFont="1" applyFill="1" applyBorder="1" applyAlignment="1">
      <alignment horizontal="right" vertical="center"/>
    </xf>
    <xf numFmtId="0" fontId="0" fillId="5" borderId="12" xfId="0" applyFill="1" applyBorder="1" applyAlignment="1">
      <alignment horizontal="left" vertical="center" wrapText="1"/>
    </xf>
    <xf numFmtId="0" fontId="17" fillId="3" borderId="25" xfId="0" applyFont="1" applyFill="1" applyBorder="1" applyAlignment="1">
      <alignment horizontal="left"/>
    </xf>
    <xf numFmtId="0" fontId="17" fillId="3" borderId="35" xfId="0" applyFont="1" applyFill="1" applyBorder="1" applyAlignment="1">
      <alignment horizontal="left"/>
    </xf>
    <xf numFmtId="0" fontId="18" fillId="3" borderId="25" xfId="0" applyFont="1" applyFill="1" applyBorder="1" applyAlignment="1">
      <alignment horizontal="center"/>
    </xf>
    <xf numFmtId="0" fontId="18" fillId="3" borderId="35" xfId="0" applyFont="1" applyFill="1" applyBorder="1" applyAlignment="1">
      <alignment horizontal="center"/>
    </xf>
    <xf numFmtId="0" fontId="13" fillId="0" borderId="48" xfId="0" applyFont="1" applyBorder="1" applyAlignment="1">
      <alignment horizontal="right"/>
    </xf>
    <xf numFmtId="0" fontId="19" fillId="0" borderId="48" xfId="0" applyFont="1" applyBorder="1" applyAlignment="1">
      <alignment horizontal="left" wrapText="1"/>
    </xf>
    <xf numFmtId="0" fontId="1" fillId="4" borderId="35" xfId="0" applyFont="1" applyFill="1" applyBorder="1" applyAlignment="1">
      <alignment horizontal="center" vertical="center" textRotation="90"/>
    </xf>
    <xf numFmtId="10" fontId="4" fillId="2" borderId="38" xfId="0" applyNumberFormat="1" applyFont="1" applyFill="1" applyBorder="1" applyAlignment="1">
      <alignment horizontal="right" vertical="center"/>
    </xf>
    <xf numFmtId="10" fontId="4" fillId="2" borderId="39" xfId="0" applyNumberFormat="1" applyFont="1" applyFill="1" applyBorder="1" applyAlignment="1">
      <alignment horizontal="right" vertical="center"/>
    </xf>
    <xf numFmtId="10" fontId="4" fillId="2" borderId="40" xfId="0" applyNumberFormat="1" applyFont="1" applyFill="1" applyBorder="1" applyAlignment="1">
      <alignment horizontal="right" vertical="center"/>
    </xf>
    <xf numFmtId="10" fontId="4" fillId="3" borderId="38" xfId="0" applyNumberFormat="1" applyFont="1" applyFill="1" applyBorder="1" applyAlignment="1">
      <alignment horizontal="right" vertical="center"/>
    </xf>
    <xf numFmtId="10" fontId="4" fillId="3" borderId="39" xfId="0" applyNumberFormat="1" applyFont="1" applyFill="1" applyBorder="1" applyAlignment="1">
      <alignment horizontal="right" vertical="center"/>
    </xf>
    <xf numFmtId="10" fontId="4" fillId="3" borderId="40" xfId="0" applyNumberFormat="1" applyFont="1" applyFill="1" applyBorder="1" applyAlignment="1">
      <alignment horizontal="right" vertical="center"/>
    </xf>
    <xf numFmtId="0" fontId="1" fillId="7" borderId="23" xfId="0" applyFont="1" applyFill="1" applyBorder="1" applyAlignment="1">
      <alignment horizontal="center"/>
    </xf>
    <xf numFmtId="0" fontId="1" fillId="7" borderId="7" xfId="0" applyFont="1" applyFill="1" applyBorder="1" applyAlignment="1">
      <alignment horizontal="center"/>
    </xf>
    <xf numFmtId="0" fontId="17" fillId="3" borderId="25" xfId="0" applyFont="1" applyFill="1" applyBorder="1" applyAlignment="1">
      <alignment horizontal="center"/>
    </xf>
    <xf numFmtId="0" fontId="17" fillId="3" borderId="35" xfId="0" applyFont="1" applyFill="1" applyBorder="1" applyAlignment="1">
      <alignment horizontal="center"/>
    </xf>
    <xf numFmtId="10" fontId="0" fillId="5" borderId="41" xfId="1" applyNumberFormat="1" applyFont="1" applyFill="1" applyBorder="1" applyAlignment="1">
      <alignment horizontal="right" vertical="center"/>
    </xf>
    <xf numFmtId="0" fontId="0" fillId="5" borderId="41" xfId="0" applyFill="1" applyBorder="1" applyAlignment="1">
      <alignment horizontal="left" vertical="center"/>
    </xf>
    <xf numFmtId="2" fontId="5" fillId="5" borderId="28" xfId="0" applyNumberFormat="1" applyFont="1" applyFill="1" applyBorder="1" applyAlignment="1">
      <alignment horizontal="center" vertical="center"/>
    </xf>
    <xf numFmtId="2" fontId="5" fillId="5" borderId="41" xfId="0" applyNumberFormat="1" applyFont="1" applyFill="1" applyBorder="1" applyAlignment="1">
      <alignment horizontal="center" vertical="center"/>
    </xf>
    <xf numFmtId="2" fontId="5" fillId="5" borderId="29" xfId="0" applyNumberFormat="1" applyFont="1" applyFill="1" applyBorder="1" applyAlignment="1">
      <alignment horizontal="center" vertical="center"/>
    </xf>
    <xf numFmtId="0" fontId="0" fillId="5" borderId="28" xfId="0" applyFill="1" applyBorder="1" applyAlignment="1">
      <alignment horizontal="right" vertical="center"/>
    </xf>
    <xf numFmtId="0" fontId="0" fillId="5" borderId="41" xfId="0" applyFill="1" applyBorder="1" applyAlignment="1">
      <alignment horizontal="right" vertical="center"/>
    </xf>
    <xf numFmtId="0" fontId="0" fillId="5" borderId="29" xfId="0" applyFill="1" applyBorder="1" applyAlignment="1">
      <alignment horizontal="right" vertical="center"/>
    </xf>
    <xf numFmtId="0" fontId="0" fillId="5" borderId="22" xfId="0" applyFill="1" applyBorder="1" applyAlignment="1">
      <alignment horizontal="left" vertical="center"/>
    </xf>
  </cellXfs>
  <cellStyles count="2">
    <cellStyle name="Normal" xfId="0" builtinId="0"/>
    <cellStyle name="Porcentaje" xfId="1" builtinId="5"/>
  </cellStyles>
  <dxfs count="0"/>
  <tableStyles count="0" defaultTableStyle="TableStyleMedium2" defaultPivotStyle="PivotStyleLight16"/>
  <colors>
    <mruColors>
      <color rgb="FF99CCFF"/>
      <color rgb="FFCC3300"/>
      <color rgb="FF66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12"/>
  <sheetViews>
    <sheetView showGridLines="0" showRowColHeaders="0" zoomScale="140" zoomScaleNormal="140" workbookViewId="0">
      <selection activeCell="B2" sqref="B2:B12"/>
    </sheetView>
  </sheetViews>
  <sheetFormatPr baseColWidth="10" defaultRowHeight="14.5" x14ac:dyDescent="0.35"/>
  <cols>
    <col min="1" max="1" width="2.81640625" customWidth="1"/>
    <col min="2" max="2" width="133.1796875" style="158" customWidth="1"/>
  </cols>
  <sheetData>
    <row r="1" spans="2:2" ht="15" thickBot="1" x14ac:dyDescent="0.4"/>
    <row r="2" spans="2:2" ht="15.5" x14ac:dyDescent="0.35">
      <c r="B2" s="166" t="s">
        <v>223</v>
      </c>
    </row>
    <row r="3" spans="2:2" ht="15.5" x14ac:dyDescent="0.35">
      <c r="B3" s="167" t="s">
        <v>204</v>
      </c>
    </row>
    <row r="4" spans="2:2" ht="16" thickBot="1" x14ac:dyDescent="0.4">
      <c r="B4" s="168" t="s">
        <v>203</v>
      </c>
    </row>
    <row r="5" spans="2:2" ht="29" x14ac:dyDescent="0.35">
      <c r="B5" s="169" t="s">
        <v>224</v>
      </c>
    </row>
    <row r="6" spans="2:2" ht="31" x14ac:dyDescent="0.35">
      <c r="B6" s="170" t="s">
        <v>205</v>
      </c>
    </row>
    <row r="7" spans="2:2" ht="31" x14ac:dyDescent="0.35">
      <c r="B7" s="170" t="s">
        <v>217</v>
      </c>
    </row>
    <row r="8" spans="2:2" ht="31" x14ac:dyDescent="0.35">
      <c r="B8" s="170" t="s">
        <v>206</v>
      </c>
    </row>
    <row r="9" spans="2:2" ht="46.5" x14ac:dyDescent="0.35">
      <c r="B9" s="170" t="s">
        <v>216</v>
      </c>
    </row>
    <row r="10" spans="2:2" ht="62" x14ac:dyDescent="0.35">
      <c r="B10" s="170" t="s">
        <v>218</v>
      </c>
    </row>
    <row r="11" spans="2:2" ht="31" x14ac:dyDescent="0.35">
      <c r="B11" s="170" t="s">
        <v>219</v>
      </c>
    </row>
    <row r="12" spans="2:2" ht="47" thickBot="1" x14ac:dyDescent="0.4">
      <c r="B12" s="171" t="s">
        <v>220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K43"/>
  <sheetViews>
    <sheetView showGridLines="0" showRowColHeaders="0" zoomScale="110" zoomScaleNormal="110" workbookViewId="0"/>
  </sheetViews>
  <sheetFormatPr baseColWidth="10" defaultRowHeight="14.5" x14ac:dyDescent="0.35"/>
  <cols>
    <col min="1" max="1" width="2.453125" customWidth="1"/>
    <col min="2" max="2" width="4.7265625" customWidth="1"/>
    <col min="3" max="3" width="8.453125" customWidth="1"/>
    <col min="4" max="4" width="11.81640625" customWidth="1"/>
    <col min="5" max="5" width="8.453125" customWidth="1"/>
    <col min="6" max="6" width="20.54296875" style="1" bestFit="1" customWidth="1"/>
    <col min="7" max="7" width="10" customWidth="1"/>
    <col min="8" max="8" width="57.26953125" customWidth="1"/>
    <col min="9" max="9" width="38.81640625" customWidth="1"/>
    <col min="10" max="11" width="6.7265625" customWidth="1"/>
    <col min="12" max="12" width="2.1796875" customWidth="1"/>
  </cols>
  <sheetData>
    <row r="2" spans="1:11" ht="15.5" x14ac:dyDescent="0.35">
      <c r="B2" s="45" t="s">
        <v>174</v>
      </c>
    </row>
    <row r="3" spans="1:11" ht="15.5" x14ac:dyDescent="0.35">
      <c r="B3" s="45" t="s">
        <v>67</v>
      </c>
    </row>
    <row r="4" spans="1:11" ht="16" thickBot="1" x14ac:dyDescent="0.4">
      <c r="B4" s="45" t="s">
        <v>193</v>
      </c>
      <c r="H4" s="73"/>
      <c r="I4" s="73"/>
    </row>
    <row r="5" spans="1:11" ht="17" thickBot="1" x14ac:dyDescent="0.5">
      <c r="B5" s="172" t="s">
        <v>6</v>
      </c>
      <c r="C5" s="14" t="s">
        <v>68</v>
      </c>
      <c r="D5" s="11" t="s">
        <v>8</v>
      </c>
      <c r="E5" s="11" t="s">
        <v>69</v>
      </c>
      <c r="F5" s="12" t="s">
        <v>9</v>
      </c>
      <c r="G5" s="11" t="s">
        <v>70</v>
      </c>
      <c r="H5" s="11" t="s">
        <v>10</v>
      </c>
      <c r="I5" s="53" t="s">
        <v>11</v>
      </c>
      <c r="J5" s="63" t="s">
        <v>71</v>
      </c>
      <c r="K5" s="13" t="s">
        <v>71</v>
      </c>
    </row>
    <row r="6" spans="1:11" ht="15" customHeight="1" x14ac:dyDescent="0.35">
      <c r="B6" s="173"/>
      <c r="C6" s="175">
        <v>0.32890000000000003</v>
      </c>
      <c r="D6" s="178" t="s">
        <v>137</v>
      </c>
      <c r="E6" s="15">
        <v>0.37519999999999998</v>
      </c>
      <c r="F6" s="50" t="s">
        <v>12</v>
      </c>
      <c r="G6" s="16">
        <v>1</v>
      </c>
      <c r="H6" s="17" t="s">
        <v>12</v>
      </c>
      <c r="I6" s="54" t="s">
        <v>46</v>
      </c>
      <c r="J6" s="64">
        <f>G6*E6*C6</f>
        <v>0.12340328</v>
      </c>
      <c r="K6" s="18">
        <f>J6</f>
        <v>0.12340328</v>
      </c>
    </row>
    <row r="7" spans="1:11" x14ac:dyDescent="0.35">
      <c r="A7" s="2"/>
      <c r="B7" s="173"/>
      <c r="C7" s="176"/>
      <c r="D7" s="179"/>
      <c r="E7" s="181">
        <v>0.49149999999999999</v>
      </c>
      <c r="F7" s="182" t="s">
        <v>17</v>
      </c>
      <c r="G7" s="5">
        <v>0.3332</v>
      </c>
      <c r="H7" s="3" t="s">
        <v>23</v>
      </c>
      <c r="I7" s="55" t="s">
        <v>47</v>
      </c>
      <c r="J7" s="65">
        <f>G7*$E$7*$C$6</f>
        <v>5.3863229419999999E-2</v>
      </c>
      <c r="K7" s="200">
        <f>SUM(J7:J9)</f>
        <v>0.16165435</v>
      </c>
    </row>
    <row r="8" spans="1:11" x14ac:dyDescent="0.35">
      <c r="B8" s="173"/>
      <c r="C8" s="176"/>
      <c r="D8" s="179"/>
      <c r="E8" s="181"/>
      <c r="F8" s="182"/>
      <c r="G8" s="5">
        <v>0.11840000000000001</v>
      </c>
      <c r="H8" s="3" t="s">
        <v>25</v>
      </c>
      <c r="I8" s="55" t="s">
        <v>47</v>
      </c>
      <c r="J8" s="65">
        <f>G8*$E$7*$C$6</f>
        <v>1.9139875040000004E-2</v>
      </c>
      <c r="K8" s="200"/>
    </row>
    <row r="9" spans="1:11" x14ac:dyDescent="0.35">
      <c r="B9" s="173"/>
      <c r="C9" s="176"/>
      <c r="D9" s="179"/>
      <c r="E9" s="181"/>
      <c r="F9" s="182"/>
      <c r="G9" s="5">
        <v>0.5484</v>
      </c>
      <c r="H9" s="3" t="s">
        <v>24</v>
      </c>
      <c r="I9" s="55" t="s">
        <v>1</v>
      </c>
      <c r="J9" s="65">
        <f>G9*$E$7*$C$6</f>
        <v>8.8651245540000007E-2</v>
      </c>
      <c r="K9" s="200"/>
    </row>
    <row r="10" spans="1:11" ht="15.75" customHeight="1" thickBot="1" x14ac:dyDescent="0.4">
      <c r="B10" s="173"/>
      <c r="C10" s="177"/>
      <c r="D10" s="180"/>
      <c r="E10" s="23">
        <v>0.1333</v>
      </c>
      <c r="F10" s="51" t="s">
        <v>13</v>
      </c>
      <c r="G10" s="24">
        <v>1</v>
      </c>
      <c r="H10" s="25" t="s">
        <v>26</v>
      </c>
      <c r="I10" s="56" t="s">
        <v>2</v>
      </c>
      <c r="J10" s="66">
        <v>4.3811174664860654E-2</v>
      </c>
      <c r="K10" s="26">
        <v>4.3811174664860654E-2</v>
      </c>
    </row>
    <row r="11" spans="1:11" x14ac:dyDescent="0.35">
      <c r="B11" s="173"/>
      <c r="C11" s="201">
        <v>0.33110000000000001</v>
      </c>
      <c r="D11" s="204" t="s">
        <v>138</v>
      </c>
      <c r="E11" s="207">
        <v>0.31159999999999999</v>
      </c>
      <c r="F11" s="208" t="s">
        <v>20</v>
      </c>
      <c r="G11" s="29">
        <v>0.27310000000000001</v>
      </c>
      <c r="H11" s="30" t="s">
        <v>27</v>
      </c>
      <c r="I11" s="57" t="s">
        <v>48</v>
      </c>
      <c r="J11" s="67">
        <f>G11*$E$11*$C$11</f>
        <v>2.8175934555999999E-2</v>
      </c>
      <c r="K11" s="209">
        <f>SUM(J11:J14)</f>
        <v>0.10317076</v>
      </c>
    </row>
    <row r="12" spans="1:11" x14ac:dyDescent="0.35">
      <c r="B12" s="173"/>
      <c r="C12" s="202"/>
      <c r="D12" s="205"/>
      <c r="E12" s="183"/>
      <c r="F12" s="184"/>
      <c r="G12" s="6">
        <v>0.31519999999999998</v>
      </c>
      <c r="H12" s="4" t="s">
        <v>28</v>
      </c>
      <c r="I12" s="58" t="s">
        <v>48</v>
      </c>
      <c r="J12" s="68">
        <f>G12*$E$11*$C$11</f>
        <v>3.2519423552E-2</v>
      </c>
      <c r="K12" s="210"/>
    </row>
    <row r="13" spans="1:11" x14ac:dyDescent="0.35">
      <c r="B13" s="173"/>
      <c r="C13" s="202"/>
      <c r="D13" s="205"/>
      <c r="E13" s="183"/>
      <c r="F13" s="184"/>
      <c r="G13" s="6">
        <v>0.2661</v>
      </c>
      <c r="H13" s="4" t="s">
        <v>29</v>
      </c>
      <c r="I13" s="58" t="s">
        <v>48</v>
      </c>
      <c r="J13" s="68">
        <f>G13*$E$11*$C$11</f>
        <v>2.7453739235999999E-2</v>
      </c>
      <c r="K13" s="210"/>
    </row>
    <row r="14" spans="1:11" x14ac:dyDescent="0.35">
      <c r="B14" s="173"/>
      <c r="C14" s="202"/>
      <c r="D14" s="205"/>
      <c r="E14" s="183"/>
      <c r="F14" s="184"/>
      <c r="G14" s="6">
        <v>0.14560000000000001</v>
      </c>
      <c r="H14" s="4" t="s">
        <v>30</v>
      </c>
      <c r="I14" s="58" t="s">
        <v>48</v>
      </c>
      <c r="J14" s="68">
        <f>G14*$E$11*$C$11</f>
        <v>1.5021662656000001E-2</v>
      </c>
      <c r="K14" s="210"/>
    </row>
    <row r="15" spans="1:11" x14ac:dyDescent="0.35">
      <c r="B15" s="173"/>
      <c r="C15" s="202"/>
      <c r="D15" s="205"/>
      <c r="E15" s="183">
        <v>0.28210000000000002</v>
      </c>
      <c r="F15" s="184" t="s">
        <v>18</v>
      </c>
      <c r="G15" s="7">
        <v>0.11260000000000001</v>
      </c>
      <c r="H15" s="4" t="s">
        <v>31</v>
      </c>
      <c r="I15" s="58" t="s">
        <v>50</v>
      </c>
      <c r="J15" s="68">
        <f t="shared" ref="J15:J26" si="0">G15*$E$15*$C$11</f>
        <v>1.0517212706000001E-2</v>
      </c>
      <c r="K15" s="211">
        <f>SUM(J15:J19)</f>
        <v>3.1560978449000007E-2</v>
      </c>
    </row>
    <row r="16" spans="1:11" x14ac:dyDescent="0.35">
      <c r="B16" s="173"/>
      <c r="C16" s="202"/>
      <c r="D16" s="205"/>
      <c r="E16" s="183"/>
      <c r="F16" s="184"/>
      <c r="G16" s="7">
        <v>7.3400000000000007E-2</v>
      </c>
      <c r="H16" s="4" t="s">
        <v>32</v>
      </c>
      <c r="I16" s="58" t="s">
        <v>51</v>
      </c>
      <c r="J16" s="68">
        <f t="shared" si="0"/>
        <v>6.8558029540000016E-3</v>
      </c>
      <c r="K16" s="212"/>
    </row>
    <row r="17" spans="2:11" x14ac:dyDescent="0.35">
      <c r="B17" s="173"/>
      <c r="C17" s="202"/>
      <c r="D17" s="205"/>
      <c r="E17" s="183"/>
      <c r="F17" s="184"/>
      <c r="G17" s="7">
        <v>4.8300000000000003E-2</v>
      </c>
      <c r="H17" s="4" t="s">
        <v>33</v>
      </c>
      <c r="I17" s="58" t="s">
        <v>52</v>
      </c>
      <c r="J17" s="68">
        <f t="shared" si="0"/>
        <v>4.5113798730000007E-3</v>
      </c>
      <c r="K17" s="212"/>
    </row>
    <row r="18" spans="2:11" x14ac:dyDescent="0.35">
      <c r="B18" s="173"/>
      <c r="C18" s="202"/>
      <c r="D18" s="205"/>
      <c r="E18" s="183"/>
      <c r="F18" s="184"/>
      <c r="G18" s="7">
        <v>4.1200000000000001E-2</v>
      </c>
      <c r="H18" s="4" t="s">
        <v>34</v>
      </c>
      <c r="I18" s="58" t="s">
        <v>55</v>
      </c>
      <c r="J18" s="68">
        <f t="shared" si="0"/>
        <v>3.8482163720000005E-3</v>
      </c>
      <c r="K18" s="212"/>
    </row>
    <row r="19" spans="2:11" x14ac:dyDescent="0.35">
      <c r="B19" s="173"/>
      <c r="C19" s="202"/>
      <c r="D19" s="205"/>
      <c r="E19" s="183"/>
      <c r="F19" s="184"/>
      <c r="G19" s="7">
        <v>6.2399999999999997E-2</v>
      </c>
      <c r="H19" s="4" t="s">
        <v>35</v>
      </c>
      <c r="I19" s="58" t="s">
        <v>53</v>
      </c>
      <c r="J19" s="68">
        <f t="shared" si="0"/>
        <v>5.8283665440000002E-3</v>
      </c>
      <c r="K19" s="213"/>
    </row>
    <row r="20" spans="2:11" x14ac:dyDescent="0.35">
      <c r="B20" s="173"/>
      <c r="C20" s="202"/>
      <c r="D20" s="205"/>
      <c r="E20" s="183"/>
      <c r="F20" s="184"/>
      <c r="G20" s="7">
        <v>4.1700000000000001E-2</v>
      </c>
      <c r="H20" s="4" t="s">
        <v>115</v>
      </c>
      <c r="I20" s="58" t="s">
        <v>56</v>
      </c>
      <c r="J20" s="68">
        <f t="shared" si="0"/>
        <v>3.8949180270000006E-3</v>
      </c>
      <c r="K20" s="19">
        <f>J20</f>
        <v>3.8949180270000006E-3</v>
      </c>
    </row>
    <row r="21" spans="2:11" x14ac:dyDescent="0.35">
      <c r="B21" s="173"/>
      <c r="C21" s="202"/>
      <c r="D21" s="205"/>
      <c r="E21" s="183"/>
      <c r="F21" s="184"/>
      <c r="G21" s="7">
        <v>7.3999999999999996E-2</v>
      </c>
      <c r="H21" s="4" t="s">
        <v>36</v>
      </c>
      <c r="I21" s="58" t="s">
        <v>54</v>
      </c>
      <c r="J21" s="68">
        <f t="shared" si="0"/>
        <v>6.91184494E-3</v>
      </c>
      <c r="K21" s="19">
        <f>J21</f>
        <v>6.91184494E-3</v>
      </c>
    </row>
    <row r="22" spans="2:11" x14ac:dyDescent="0.35">
      <c r="B22" s="173"/>
      <c r="C22" s="202"/>
      <c r="D22" s="205"/>
      <c r="E22" s="183"/>
      <c r="F22" s="184"/>
      <c r="G22" s="7">
        <v>0.1105</v>
      </c>
      <c r="H22" s="4" t="s">
        <v>39</v>
      </c>
      <c r="I22" s="58" t="s">
        <v>4</v>
      </c>
      <c r="J22" s="68">
        <f t="shared" si="0"/>
        <v>1.0321065755000001E-2</v>
      </c>
      <c r="K22" s="210">
        <f>SUM(J22:J23)</f>
        <v>1.9483930466000002E-2</v>
      </c>
    </row>
    <row r="23" spans="2:11" x14ac:dyDescent="0.35">
      <c r="B23" s="173"/>
      <c r="C23" s="202"/>
      <c r="D23" s="205"/>
      <c r="E23" s="183"/>
      <c r="F23" s="184"/>
      <c r="G23" s="7">
        <v>9.8100000000000007E-2</v>
      </c>
      <c r="H23" s="4" t="s">
        <v>40</v>
      </c>
      <c r="I23" s="58" t="s">
        <v>5</v>
      </c>
      <c r="J23" s="68">
        <f t="shared" si="0"/>
        <v>9.1628647110000017E-3</v>
      </c>
      <c r="K23" s="210"/>
    </row>
    <row r="24" spans="2:11" x14ac:dyDescent="0.35">
      <c r="B24" s="173"/>
      <c r="C24" s="202"/>
      <c r="D24" s="205"/>
      <c r="E24" s="183"/>
      <c r="F24" s="184"/>
      <c r="G24" s="7">
        <v>0.10440000000000001</v>
      </c>
      <c r="H24" s="4" t="s">
        <v>37</v>
      </c>
      <c r="I24" s="58" t="s">
        <v>52</v>
      </c>
      <c r="J24" s="68">
        <f t="shared" si="0"/>
        <v>9.7513055640000013E-3</v>
      </c>
      <c r="K24" s="210">
        <f>SUM(J24:J26)</f>
        <v>3.1551638117999999E-2</v>
      </c>
    </row>
    <row r="25" spans="2:11" x14ac:dyDescent="0.35">
      <c r="B25" s="173"/>
      <c r="C25" s="202"/>
      <c r="D25" s="205"/>
      <c r="E25" s="183"/>
      <c r="F25" s="184"/>
      <c r="G25" s="7">
        <v>0.1081</v>
      </c>
      <c r="H25" s="4" t="s">
        <v>38</v>
      </c>
      <c r="I25" s="58" t="s">
        <v>57</v>
      </c>
      <c r="J25" s="68">
        <f t="shared" si="0"/>
        <v>1.0096897811E-2</v>
      </c>
      <c r="K25" s="210"/>
    </row>
    <row r="26" spans="2:11" x14ac:dyDescent="0.35">
      <c r="B26" s="173"/>
      <c r="C26" s="202"/>
      <c r="D26" s="205"/>
      <c r="E26" s="183"/>
      <c r="F26" s="184"/>
      <c r="G26" s="7">
        <v>0.12529999999999999</v>
      </c>
      <c r="H26" s="4" t="s">
        <v>93</v>
      </c>
      <c r="I26" s="58" t="s">
        <v>3</v>
      </c>
      <c r="J26" s="68">
        <f t="shared" si="0"/>
        <v>1.1703434742999999E-2</v>
      </c>
      <c r="K26" s="210"/>
    </row>
    <row r="27" spans="2:11" x14ac:dyDescent="0.35">
      <c r="B27" s="173"/>
      <c r="C27" s="202"/>
      <c r="D27" s="205"/>
      <c r="E27" s="49">
        <v>0.1132</v>
      </c>
      <c r="F27" s="52" t="s">
        <v>14</v>
      </c>
      <c r="G27" s="8">
        <v>1</v>
      </c>
      <c r="H27" s="4" t="s">
        <v>44</v>
      </c>
      <c r="I27" s="58" t="s">
        <v>63</v>
      </c>
      <c r="J27" s="68">
        <f>G27*E27*C11</f>
        <v>3.7480519999999996E-2</v>
      </c>
      <c r="K27" s="19">
        <f>J27</f>
        <v>3.7480519999999996E-2</v>
      </c>
    </row>
    <row r="28" spans="2:11" x14ac:dyDescent="0.35">
      <c r="B28" s="173"/>
      <c r="C28" s="202"/>
      <c r="D28" s="205"/>
      <c r="E28" s="49">
        <v>0.2296</v>
      </c>
      <c r="F28" s="52" t="s">
        <v>15</v>
      </c>
      <c r="G28" s="8">
        <v>1</v>
      </c>
      <c r="H28" s="4" t="s">
        <v>45</v>
      </c>
      <c r="I28" s="58" t="s">
        <v>64</v>
      </c>
      <c r="J28" s="68">
        <f>G28*E28*C11</f>
        <v>7.6020560000000001E-2</v>
      </c>
      <c r="K28" s="19">
        <f>J28</f>
        <v>7.6020560000000001E-2</v>
      </c>
    </row>
    <row r="29" spans="2:11" x14ac:dyDescent="0.35">
      <c r="B29" s="173"/>
      <c r="C29" s="202"/>
      <c r="D29" s="205"/>
      <c r="E29" s="183">
        <v>6.3500000000000001E-2</v>
      </c>
      <c r="F29" s="186" t="s">
        <v>16</v>
      </c>
      <c r="G29" s="9">
        <v>0.47189999999999999</v>
      </c>
      <c r="H29" s="4" t="s">
        <v>41</v>
      </c>
      <c r="I29" s="58" t="s">
        <v>65</v>
      </c>
      <c r="J29" s="68">
        <f>G29*$E$29*$C$11</f>
        <v>9.9216267149999995E-3</v>
      </c>
      <c r="K29" s="210">
        <f>SUM(J29:J31)</f>
        <v>2.1024850000000001E-2</v>
      </c>
    </row>
    <row r="30" spans="2:11" x14ac:dyDescent="0.35">
      <c r="B30" s="173"/>
      <c r="C30" s="202"/>
      <c r="D30" s="205"/>
      <c r="E30" s="183" t="e">
        <f>(#REF!+#REF!*4+#REF!+#REF!+#REF!+#REF!)/9</f>
        <v>#REF!</v>
      </c>
      <c r="F30" s="186"/>
      <c r="G30" s="9">
        <v>0.33189999999999997</v>
      </c>
      <c r="H30" s="4" t="s">
        <v>42</v>
      </c>
      <c r="I30" s="58" t="s">
        <v>66</v>
      </c>
      <c r="J30" s="68">
        <f>G30*$E$29*$C$11</f>
        <v>6.9781477149999998E-3</v>
      </c>
      <c r="K30" s="210"/>
    </row>
    <row r="31" spans="2:11" ht="15" thickBot="1" x14ac:dyDescent="0.4">
      <c r="B31" s="173"/>
      <c r="C31" s="203"/>
      <c r="D31" s="206"/>
      <c r="E31" s="185" t="e">
        <f>(#REF!+#REF!*4+#REF!+#REF!+#REF!+#REF!)/9</f>
        <v>#REF!</v>
      </c>
      <c r="F31" s="187"/>
      <c r="G31" s="31">
        <v>0.19620000000000001</v>
      </c>
      <c r="H31" s="32" t="s">
        <v>43</v>
      </c>
      <c r="I31" s="59" t="s">
        <v>98</v>
      </c>
      <c r="J31" s="69">
        <f>G31*$E$29*$C$11</f>
        <v>4.1250755700000009E-3</v>
      </c>
      <c r="K31" s="214"/>
    </row>
    <row r="32" spans="2:11" x14ac:dyDescent="0.35">
      <c r="B32" s="173"/>
      <c r="C32" s="188">
        <v>0.34</v>
      </c>
      <c r="D32" s="191" t="s">
        <v>139</v>
      </c>
      <c r="E32" s="194">
        <v>1</v>
      </c>
      <c r="F32" s="197" t="s">
        <v>19</v>
      </c>
      <c r="G32" s="46">
        <v>0.43859999999999999</v>
      </c>
      <c r="H32" s="27" t="s">
        <v>95</v>
      </c>
      <c r="I32" s="60" t="s">
        <v>49</v>
      </c>
      <c r="J32" s="70">
        <f>G32*$E$32*$C$32</f>
        <v>0.14912400000000001</v>
      </c>
      <c r="K32" s="28">
        <f>J32</f>
        <v>0.14912400000000001</v>
      </c>
    </row>
    <row r="33" spans="2:11" x14ac:dyDescent="0.35">
      <c r="B33" s="173"/>
      <c r="C33" s="189"/>
      <c r="D33" s="192"/>
      <c r="E33" s="195"/>
      <c r="F33" s="198"/>
      <c r="G33" s="47">
        <v>0.26400000000000001</v>
      </c>
      <c r="H33" s="10" t="s">
        <v>96</v>
      </c>
      <c r="I33" s="61" t="s">
        <v>49</v>
      </c>
      <c r="J33" s="71">
        <f>G33*$E$32*$C$32</f>
        <v>8.9760000000000006E-2</v>
      </c>
      <c r="K33" s="20">
        <f>J33</f>
        <v>8.9760000000000006E-2</v>
      </c>
    </row>
    <row r="34" spans="2:11" ht="15" thickBot="1" x14ac:dyDescent="0.4">
      <c r="B34" s="174"/>
      <c r="C34" s="190"/>
      <c r="D34" s="193"/>
      <c r="E34" s="196"/>
      <c r="F34" s="199"/>
      <c r="G34" s="48">
        <v>0.29770000000000002</v>
      </c>
      <c r="H34" s="21" t="s">
        <v>97</v>
      </c>
      <c r="I34" s="62" t="s">
        <v>49</v>
      </c>
      <c r="J34" s="72">
        <f>G34*$E$32*$C$32</f>
        <v>0.10121800000000002</v>
      </c>
      <c r="K34" s="22">
        <f>J34</f>
        <v>0.10121800000000002</v>
      </c>
    </row>
    <row r="35" spans="2:11" ht="15" thickBot="1" x14ac:dyDescent="0.4">
      <c r="C35" s="35">
        <f>SUM(C6:C34)</f>
        <v>1</v>
      </c>
      <c r="D35" t="s">
        <v>62</v>
      </c>
      <c r="E35" s="36">
        <f>SUM(E6:E10)</f>
        <v>1</v>
      </c>
      <c r="F35" s="1" t="s">
        <v>58</v>
      </c>
      <c r="G35" s="39">
        <f>G6</f>
        <v>1</v>
      </c>
      <c r="H35" t="s">
        <v>12</v>
      </c>
      <c r="J35" s="33">
        <f>SUM(J6:J34)</f>
        <v>1.0000708046648605</v>
      </c>
      <c r="K35" s="34">
        <f>SUM(K6:K34)</f>
        <v>1.0000708046648608</v>
      </c>
    </row>
    <row r="36" spans="2:11" x14ac:dyDescent="0.35">
      <c r="E36" s="37">
        <f>E11+E15+E27+E28+E29</f>
        <v>1</v>
      </c>
      <c r="F36" s="1" t="s">
        <v>0</v>
      </c>
      <c r="G36" s="40">
        <f>SUM(G7:G9)</f>
        <v>1</v>
      </c>
      <c r="H36" t="s">
        <v>17</v>
      </c>
    </row>
    <row r="37" spans="2:11" ht="15" thickBot="1" x14ac:dyDescent="0.4">
      <c r="E37" s="38">
        <f>SUM(E32)</f>
        <v>1</v>
      </c>
      <c r="F37" s="1" t="s">
        <v>59</v>
      </c>
      <c r="G37" s="41">
        <f>G10</f>
        <v>1</v>
      </c>
      <c r="H37" t="s">
        <v>13</v>
      </c>
    </row>
    <row r="38" spans="2:11" x14ac:dyDescent="0.35">
      <c r="G38" s="42">
        <f>SUM(G11:G14)</f>
        <v>1</v>
      </c>
      <c r="H38" t="s">
        <v>60</v>
      </c>
    </row>
    <row r="39" spans="2:11" x14ac:dyDescent="0.35">
      <c r="G39" s="43">
        <f>SUM(G15:G26)</f>
        <v>1</v>
      </c>
      <c r="H39" t="s">
        <v>61</v>
      </c>
    </row>
    <row r="40" spans="2:11" x14ac:dyDescent="0.35">
      <c r="G40" s="41">
        <f>G27</f>
        <v>1</v>
      </c>
      <c r="H40" t="s">
        <v>14</v>
      </c>
    </row>
    <row r="41" spans="2:11" x14ac:dyDescent="0.35">
      <c r="G41" s="41">
        <f>G28</f>
        <v>1</v>
      </c>
      <c r="H41" t="s">
        <v>15</v>
      </c>
    </row>
    <row r="42" spans="2:11" x14ac:dyDescent="0.35">
      <c r="G42" s="44">
        <f>G31+G29+G30</f>
        <v>1</v>
      </c>
      <c r="H42" t="s">
        <v>16</v>
      </c>
    </row>
    <row r="43" spans="2:11" ht="15" thickBot="1" x14ac:dyDescent="0.4">
      <c r="G43" s="38">
        <f>SUM(G32:G34)</f>
        <v>1.0003</v>
      </c>
      <c r="H43" t="s">
        <v>59</v>
      </c>
    </row>
  </sheetData>
  <mergeCells count="23">
    <mergeCell ref="K7:K9"/>
    <mergeCell ref="C11:C31"/>
    <mergeCell ref="D11:D31"/>
    <mergeCell ref="E11:E14"/>
    <mergeCell ref="F11:F14"/>
    <mergeCell ref="K11:K14"/>
    <mergeCell ref="K15:K19"/>
    <mergeCell ref="K22:K23"/>
    <mergeCell ref="K24:K26"/>
    <mergeCell ref="K29:K31"/>
    <mergeCell ref="B5:B34"/>
    <mergeCell ref="C6:C10"/>
    <mergeCell ref="D6:D10"/>
    <mergeCell ref="E7:E9"/>
    <mergeCell ref="F7:F9"/>
    <mergeCell ref="E15:E26"/>
    <mergeCell ref="F15:F26"/>
    <mergeCell ref="E29:E31"/>
    <mergeCell ref="F29:F31"/>
    <mergeCell ref="C32:C34"/>
    <mergeCell ref="D32:D34"/>
    <mergeCell ref="E32:E34"/>
    <mergeCell ref="F32:F34"/>
  </mergeCells>
  <pageMargins left="0.7" right="0.7" top="0.75" bottom="0.75" header="0.3" footer="0.3"/>
  <pageSetup paperSize="9" orientation="portrait" horizontalDpi="1200" verticalDpi="1200" r:id="rId1"/>
  <ignoredErrors>
    <ignoredError sqref="E35 G36 G38:G39 G43" formulaRange="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K42"/>
  <sheetViews>
    <sheetView showGridLines="0" showRowColHeaders="0" zoomScale="110" zoomScaleNormal="110" workbookViewId="0"/>
  </sheetViews>
  <sheetFormatPr baseColWidth="10" defaultRowHeight="14.5" x14ac:dyDescent="0.35"/>
  <cols>
    <col min="1" max="1" width="2.453125" customWidth="1"/>
    <col min="2" max="2" width="4.7265625" customWidth="1"/>
    <col min="3" max="3" width="8.453125" customWidth="1"/>
    <col min="4" max="4" width="11.81640625" customWidth="1"/>
    <col min="5" max="5" width="8.453125" customWidth="1"/>
    <col min="6" max="6" width="20.54296875" style="1" bestFit="1" customWidth="1"/>
    <col min="7" max="7" width="10" customWidth="1"/>
    <col min="8" max="8" width="57.26953125" customWidth="1"/>
    <col min="9" max="9" width="38.81640625" customWidth="1"/>
    <col min="10" max="11" width="6.7265625" customWidth="1"/>
    <col min="12" max="12" width="2.1796875" customWidth="1"/>
    <col min="13" max="13" width="11.453125" customWidth="1"/>
  </cols>
  <sheetData>
    <row r="2" spans="1:11" ht="15.5" x14ac:dyDescent="0.35">
      <c r="B2" s="45" t="s">
        <v>174</v>
      </c>
    </row>
    <row r="3" spans="1:11" ht="15.5" x14ac:dyDescent="0.35">
      <c r="B3" s="45" t="s">
        <v>208</v>
      </c>
    </row>
    <row r="4" spans="1:11" ht="16" thickBot="1" x14ac:dyDescent="0.4">
      <c r="B4" s="45" t="s">
        <v>72</v>
      </c>
      <c r="H4" s="73"/>
      <c r="I4" s="73"/>
    </row>
    <row r="5" spans="1:11" ht="17" thickBot="1" x14ac:dyDescent="0.5">
      <c r="B5" s="172" t="s">
        <v>6</v>
      </c>
      <c r="C5" s="14" t="s">
        <v>68</v>
      </c>
      <c r="D5" s="11" t="s">
        <v>8</v>
      </c>
      <c r="E5" s="11" t="s">
        <v>69</v>
      </c>
      <c r="F5" s="12" t="s">
        <v>9</v>
      </c>
      <c r="G5" s="11" t="s">
        <v>70</v>
      </c>
      <c r="H5" s="11" t="s">
        <v>10</v>
      </c>
      <c r="I5" s="53" t="s">
        <v>11</v>
      </c>
      <c r="J5" s="63" t="s">
        <v>71</v>
      </c>
      <c r="K5" s="13" t="s">
        <v>71</v>
      </c>
    </row>
    <row r="6" spans="1:11" ht="15" customHeight="1" x14ac:dyDescent="0.35">
      <c r="B6" s="173"/>
      <c r="C6" s="175">
        <f>Weconom</f>
        <v>0.32890000000000003</v>
      </c>
      <c r="D6" s="178" t="s">
        <v>21</v>
      </c>
      <c r="E6" s="15">
        <f>Wacqcost</f>
        <v>0.37519999999999998</v>
      </c>
      <c r="F6" s="50" t="s">
        <v>12</v>
      </c>
      <c r="G6" s="16">
        <v>1</v>
      </c>
      <c r="H6" s="17" t="s">
        <v>12</v>
      </c>
      <c r="I6" s="54" t="s">
        <v>46</v>
      </c>
      <c r="J6" s="64">
        <f>G6*E6*C6</f>
        <v>0.12340328</v>
      </c>
      <c r="K6" s="18">
        <f>J6</f>
        <v>0.12340328</v>
      </c>
    </row>
    <row r="7" spans="1:11" x14ac:dyDescent="0.35">
      <c r="A7" s="2"/>
      <c r="B7" s="173"/>
      <c r="C7" s="176"/>
      <c r="D7" s="179"/>
      <c r="E7" s="181">
        <f>Wusecost</f>
        <v>0.49149999999999999</v>
      </c>
      <c r="F7" s="182" t="s">
        <v>17</v>
      </c>
      <c r="G7" s="5">
        <f>Wmaintcosts</f>
        <v>0.3332</v>
      </c>
      <c r="H7" s="3" t="s">
        <v>23</v>
      </c>
      <c r="I7" s="55" t="s">
        <v>47</v>
      </c>
      <c r="J7" s="65">
        <f>G7*$E$7*$C$6</f>
        <v>5.3863229419999999E-2</v>
      </c>
      <c r="K7" s="200">
        <f>SUM(J7:J9)</f>
        <v>0.16165435</v>
      </c>
    </row>
    <row r="8" spans="1:11" x14ac:dyDescent="0.35">
      <c r="B8" s="173"/>
      <c r="C8" s="176"/>
      <c r="D8" s="179"/>
      <c r="E8" s="181"/>
      <c r="F8" s="182"/>
      <c r="G8" s="5">
        <f>Wfixedcost</f>
        <v>0.11840000000000001</v>
      </c>
      <c r="H8" s="3" t="s">
        <v>25</v>
      </c>
      <c r="I8" s="55" t="s">
        <v>47</v>
      </c>
      <c r="J8" s="65">
        <f>G8*$E$7*$C$6</f>
        <v>1.9139875040000004E-2</v>
      </c>
      <c r="K8" s="200"/>
    </row>
    <row r="9" spans="1:11" x14ac:dyDescent="0.35">
      <c r="B9" s="173"/>
      <c r="C9" s="176"/>
      <c r="D9" s="179"/>
      <c r="E9" s="181"/>
      <c r="F9" s="182"/>
      <c r="G9" s="5">
        <f>Wfuel</f>
        <v>0.5484</v>
      </c>
      <c r="H9" s="3" t="s">
        <v>24</v>
      </c>
      <c r="I9" s="55" t="s">
        <v>1</v>
      </c>
      <c r="J9" s="65">
        <f>G9*$E$7*$C$6</f>
        <v>8.8651245540000007E-2</v>
      </c>
      <c r="K9" s="200"/>
    </row>
    <row r="10" spans="1:11" ht="15.75" customHeight="1" thickBot="1" x14ac:dyDescent="0.4">
      <c r="B10" s="173"/>
      <c r="C10" s="177"/>
      <c r="D10" s="180"/>
      <c r="E10" s="23">
        <f>Wresidvalue</f>
        <v>0.1333</v>
      </c>
      <c r="F10" s="51" t="s">
        <v>13</v>
      </c>
      <c r="G10" s="24">
        <v>1</v>
      </c>
      <c r="H10" s="25" t="s">
        <v>26</v>
      </c>
      <c r="I10" s="56" t="s">
        <v>2</v>
      </c>
      <c r="J10" s="66">
        <v>4.3811174664860654E-2</v>
      </c>
      <c r="K10" s="26">
        <v>4.3811174664860654E-2</v>
      </c>
    </row>
    <row r="11" spans="1:11" x14ac:dyDescent="0.35">
      <c r="B11" s="173"/>
      <c r="C11" s="201">
        <f>Wsocial</f>
        <v>0.33110000000000001</v>
      </c>
      <c r="D11" s="204" t="s">
        <v>22</v>
      </c>
      <c r="E11" s="207">
        <f>Weuroncap</f>
        <v>0.31159999999999999</v>
      </c>
      <c r="F11" s="208" t="s">
        <v>20</v>
      </c>
      <c r="G11" s="29">
        <f>Wncapadults</f>
        <v>0.27310000000000001</v>
      </c>
      <c r="H11" s="30" t="s">
        <v>27</v>
      </c>
      <c r="I11" s="57" t="s">
        <v>48</v>
      </c>
      <c r="J11" s="67">
        <f>G11*$E$11*$C$11</f>
        <v>2.8175934555999999E-2</v>
      </c>
      <c r="K11" s="209">
        <f>SUM(J11:J14)</f>
        <v>0.10317076</v>
      </c>
    </row>
    <row r="12" spans="1:11" x14ac:dyDescent="0.35">
      <c r="B12" s="173"/>
      <c r="C12" s="202"/>
      <c r="D12" s="205"/>
      <c r="E12" s="183"/>
      <c r="F12" s="184"/>
      <c r="G12" s="6">
        <f>Wncapchild</f>
        <v>0.31519999999999998</v>
      </c>
      <c r="H12" s="4" t="s">
        <v>28</v>
      </c>
      <c r="I12" s="58" t="s">
        <v>48</v>
      </c>
      <c r="J12" s="68">
        <f>G12*$E$11*$C$11</f>
        <v>3.2519423552E-2</v>
      </c>
      <c r="K12" s="210"/>
    </row>
    <row r="13" spans="1:11" x14ac:dyDescent="0.35">
      <c r="B13" s="173"/>
      <c r="C13" s="202"/>
      <c r="D13" s="205"/>
      <c r="E13" s="183"/>
      <c r="F13" s="184"/>
      <c r="G13" s="6">
        <f>Wncaproadusers</f>
        <v>0.2661</v>
      </c>
      <c r="H13" s="4" t="s">
        <v>29</v>
      </c>
      <c r="I13" s="58" t="s">
        <v>48</v>
      </c>
      <c r="J13" s="68">
        <f>G13*$E$11*$C$11</f>
        <v>2.7453739235999999E-2</v>
      </c>
      <c r="K13" s="210"/>
    </row>
    <row r="14" spans="1:11" x14ac:dyDescent="0.35">
      <c r="B14" s="173"/>
      <c r="C14" s="202"/>
      <c r="D14" s="205"/>
      <c r="E14" s="183"/>
      <c r="F14" s="184"/>
      <c r="G14" s="6">
        <f>Wncapaids</f>
        <v>0.14560000000000001</v>
      </c>
      <c r="H14" s="4" t="s">
        <v>30</v>
      </c>
      <c r="I14" s="58" t="s">
        <v>48</v>
      </c>
      <c r="J14" s="68">
        <f>G14*$E$11*$C$11</f>
        <v>1.5021662656000001E-2</v>
      </c>
      <c r="K14" s="210"/>
    </row>
    <row r="15" spans="1:11" x14ac:dyDescent="0.35">
      <c r="B15" s="173"/>
      <c r="C15" s="202"/>
      <c r="D15" s="205"/>
      <c r="E15" s="183">
        <f>Wfunctional</f>
        <v>0.28210000000000002</v>
      </c>
      <c r="F15" s="184" t="s">
        <v>18</v>
      </c>
      <c r="G15" s="7">
        <f>Wseats</f>
        <v>0.11260000000000001</v>
      </c>
      <c r="H15" s="4" t="s">
        <v>31</v>
      </c>
      <c r="I15" s="58" t="s">
        <v>50</v>
      </c>
      <c r="J15" s="68">
        <f t="shared" ref="J15:J26" si="0">G15*$E$15*$C$11</f>
        <v>1.0517212706000001E-2</v>
      </c>
      <c r="K15" s="211">
        <f>SUM(J15:J19)</f>
        <v>3.1560978449000007E-2</v>
      </c>
    </row>
    <row r="16" spans="1:11" x14ac:dyDescent="0.35">
      <c r="B16" s="173"/>
      <c r="C16" s="202"/>
      <c r="D16" s="205"/>
      <c r="E16" s="183"/>
      <c r="F16" s="184"/>
      <c r="G16" s="7">
        <f>Wdoors</f>
        <v>7.3400000000000007E-2</v>
      </c>
      <c r="H16" s="4" t="s">
        <v>32</v>
      </c>
      <c r="I16" s="58" t="s">
        <v>51</v>
      </c>
      <c r="J16" s="68">
        <f t="shared" si="0"/>
        <v>6.8558029540000016E-3</v>
      </c>
      <c r="K16" s="212"/>
    </row>
    <row r="17" spans="2:11" x14ac:dyDescent="0.35">
      <c r="B17" s="173"/>
      <c r="C17" s="202"/>
      <c r="D17" s="205"/>
      <c r="E17" s="183"/>
      <c r="F17" s="184"/>
      <c r="G17" s="7">
        <f>Waccessheight</f>
        <v>4.8300000000000003E-2</v>
      </c>
      <c r="H17" s="4" t="s">
        <v>33</v>
      </c>
      <c r="I17" s="58" t="s">
        <v>52</v>
      </c>
      <c r="J17" s="68">
        <f t="shared" si="0"/>
        <v>4.5113798730000007E-3</v>
      </c>
      <c r="K17" s="212"/>
    </row>
    <row r="18" spans="2:11" x14ac:dyDescent="0.35">
      <c r="B18" s="173"/>
      <c r="C18" s="202"/>
      <c r="D18" s="205"/>
      <c r="E18" s="183"/>
      <c r="F18" s="184"/>
      <c r="G18" s="7">
        <f>Wsuspension</f>
        <v>4.1200000000000001E-2</v>
      </c>
      <c r="H18" s="4" t="s">
        <v>34</v>
      </c>
      <c r="I18" s="58" t="s">
        <v>55</v>
      </c>
      <c r="J18" s="68">
        <f t="shared" si="0"/>
        <v>3.8482163720000005E-3</v>
      </c>
      <c r="K18" s="212"/>
    </row>
    <row r="19" spans="2:11" x14ac:dyDescent="0.35">
      <c r="B19" s="173"/>
      <c r="C19" s="202"/>
      <c r="D19" s="205"/>
      <c r="E19" s="183"/>
      <c r="F19" s="184"/>
      <c r="G19" s="7">
        <f>Wboot</f>
        <v>6.2399999999999997E-2</v>
      </c>
      <c r="H19" s="4" t="s">
        <v>35</v>
      </c>
      <c r="I19" s="58" t="s">
        <v>53</v>
      </c>
      <c r="J19" s="68">
        <f t="shared" si="0"/>
        <v>5.8283665440000002E-3</v>
      </c>
      <c r="K19" s="213"/>
    </row>
    <row r="20" spans="2:11" x14ac:dyDescent="0.35">
      <c r="B20" s="173"/>
      <c r="C20" s="202"/>
      <c r="D20" s="205"/>
      <c r="E20" s="183"/>
      <c r="F20" s="184"/>
      <c r="G20" s="7">
        <f>Wautonomous</f>
        <v>4.1700000000000001E-2</v>
      </c>
      <c r="H20" s="4" t="s">
        <v>115</v>
      </c>
      <c r="I20" s="58" t="s">
        <v>56</v>
      </c>
      <c r="J20" s="68">
        <f t="shared" si="0"/>
        <v>3.8949180270000006E-3</v>
      </c>
      <c r="K20" s="19">
        <f>J20</f>
        <v>3.8949180270000006E-3</v>
      </c>
    </row>
    <row r="21" spans="2:11" x14ac:dyDescent="0.35">
      <c r="B21" s="173"/>
      <c r="C21" s="202"/>
      <c r="D21" s="205"/>
      <c r="E21" s="183"/>
      <c r="F21" s="184"/>
      <c r="G21" s="7">
        <f>Wurbanaccess</f>
        <v>7.3999999999999996E-2</v>
      </c>
      <c r="H21" s="4" t="s">
        <v>36</v>
      </c>
      <c r="I21" s="58" t="s">
        <v>54</v>
      </c>
      <c r="J21" s="68">
        <f t="shared" si="0"/>
        <v>6.91184494E-3</v>
      </c>
      <c r="K21" s="19">
        <f>J21</f>
        <v>6.91184494E-3</v>
      </c>
    </row>
    <row r="22" spans="2:11" x14ac:dyDescent="0.35">
      <c r="B22" s="173"/>
      <c r="C22" s="202"/>
      <c r="D22" s="205"/>
      <c r="E22" s="183"/>
      <c r="F22" s="184"/>
      <c r="G22" s="7">
        <f>Wtorque</f>
        <v>0.1105</v>
      </c>
      <c r="H22" s="4" t="s">
        <v>39</v>
      </c>
      <c r="I22" s="58" t="s">
        <v>4</v>
      </c>
      <c r="J22" s="68">
        <f t="shared" si="0"/>
        <v>1.0321065755000001E-2</v>
      </c>
      <c r="K22" s="210">
        <f>SUM(J22:J23)</f>
        <v>1.9483930466000002E-2</v>
      </c>
    </row>
    <row r="23" spans="2:11" x14ac:dyDescent="0.35">
      <c r="B23" s="173"/>
      <c r="C23" s="202"/>
      <c r="D23" s="205"/>
      <c r="E23" s="183"/>
      <c r="F23" s="184"/>
      <c r="G23" s="7">
        <f>Wpower</f>
        <v>9.8100000000000007E-2</v>
      </c>
      <c r="H23" s="4" t="s">
        <v>40</v>
      </c>
      <c r="I23" s="58" t="s">
        <v>5</v>
      </c>
      <c r="J23" s="68">
        <f t="shared" si="0"/>
        <v>9.1628647110000017E-3</v>
      </c>
      <c r="K23" s="210"/>
    </row>
    <row r="24" spans="2:11" x14ac:dyDescent="0.35">
      <c r="B24" s="173"/>
      <c r="C24" s="202"/>
      <c r="D24" s="205"/>
      <c r="E24" s="183"/>
      <c r="F24" s="184"/>
      <c r="G24" s="7">
        <f>Wservstations</f>
        <v>0.10440000000000001</v>
      </c>
      <c r="H24" s="4" t="s">
        <v>37</v>
      </c>
      <c r="I24" s="58" t="s">
        <v>52</v>
      </c>
      <c r="J24" s="68">
        <f t="shared" si="0"/>
        <v>9.7513055640000013E-3</v>
      </c>
      <c r="K24" s="210">
        <f>SUM(J24:J26)</f>
        <v>3.1551638117999999E-2</v>
      </c>
    </row>
    <row r="25" spans="2:11" x14ac:dyDescent="0.35">
      <c r="B25" s="173"/>
      <c r="C25" s="202"/>
      <c r="D25" s="205"/>
      <c r="E25" s="183"/>
      <c r="F25" s="184"/>
      <c r="G25" s="7">
        <f>Wrspeed</f>
        <v>0.1081</v>
      </c>
      <c r="H25" s="4" t="s">
        <v>38</v>
      </c>
      <c r="I25" s="58" t="s">
        <v>57</v>
      </c>
      <c r="J25" s="68">
        <f t="shared" si="0"/>
        <v>1.0096897811E-2</v>
      </c>
      <c r="K25" s="210"/>
    </row>
    <row r="26" spans="2:11" x14ac:dyDescent="0.35">
      <c r="B26" s="173"/>
      <c r="C26" s="202"/>
      <c r="D26" s="205"/>
      <c r="E26" s="183"/>
      <c r="F26" s="184"/>
      <c r="G26" s="7">
        <f>Wrange</f>
        <v>0.12529999999999999</v>
      </c>
      <c r="H26" s="4" t="s">
        <v>93</v>
      </c>
      <c r="I26" s="58" t="s">
        <v>3</v>
      </c>
      <c r="J26" s="68">
        <f t="shared" si="0"/>
        <v>1.1703434742999999E-2</v>
      </c>
      <c r="K26" s="210"/>
    </row>
    <row r="27" spans="2:11" x14ac:dyDescent="0.35">
      <c r="B27" s="173"/>
      <c r="C27" s="202"/>
      <c r="D27" s="205"/>
      <c r="E27" s="49">
        <f>Wemployment</f>
        <v>0.1132</v>
      </c>
      <c r="F27" s="52" t="s">
        <v>14</v>
      </c>
      <c r="G27" s="8">
        <v>1</v>
      </c>
      <c r="H27" s="4" t="s">
        <v>44</v>
      </c>
      <c r="I27" s="58" t="s">
        <v>63</v>
      </c>
      <c r="J27" s="68">
        <f>G27*E27*C11</f>
        <v>3.7480519999999996E-2</v>
      </c>
      <c r="K27" s="19">
        <f>J27</f>
        <v>3.7480519999999996E-2</v>
      </c>
    </row>
    <row r="28" spans="2:11" x14ac:dyDescent="0.35">
      <c r="B28" s="173"/>
      <c r="C28" s="202"/>
      <c r="D28" s="205"/>
      <c r="E28" s="49">
        <f>Wdesign</f>
        <v>0.2296</v>
      </c>
      <c r="F28" s="52" t="s">
        <v>15</v>
      </c>
      <c r="G28" s="8">
        <v>1</v>
      </c>
      <c r="H28" s="4" t="s">
        <v>45</v>
      </c>
      <c r="I28" s="58" t="s">
        <v>64</v>
      </c>
      <c r="J28" s="68">
        <f>G28*E28*C11</f>
        <v>7.6020560000000001E-2</v>
      </c>
      <c r="K28" s="19">
        <f>J28</f>
        <v>7.6020560000000001E-2</v>
      </c>
    </row>
    <row r="29" spans="2:11" x14ac:dyDescent="0.35">
      <c r="B29" s="173"/>
      <c r="C29" s="202"/>
      <c r="D29" s="205"/>
      <c r="E29" s="183">
        <f>Wstatus</f>
        <v>6.3500000000000001E-2</v>
      </c>
      <c r="F29" s="186" t="s">
        <v>16</v>
      </c>
      <c r="G29" s="9">
        <f>Wbrand</f>
        <v>0.47189999999999999</v>
      </c>
      <c r="H29" s="4" t="s">
        <v>41</v>
      </c>
      <c r="I29" s="58" t="s">
        <v>65</v>
      </c>
      <c r="J29" s="68">
        <f>G29*$E$29*$C$11</f>
        <v>9.9216267149999995E-3</v>
      </c>
      <c r="K29" s="210">
        <f>SUM(J29:J31)</f>
        <v>2.1024850000000001E-2</v>
      </c>
    </row>
    <row r="30" spans="2:11" x14ac:dyDescent="0.35">
      <c r="B30" s="173"/>
      <c r="C30" s="202"/>
      <c r="D30" s="205"/>
      <c r="E30" s="183" t="e">
        <f>(#REF!+#REF!*4+#REF!+#REF!+#REF!+#REF!)/9</f>
        <v>#REF!</v>
      </c>
      <c r="F30" s="186"/>
      <c r="G30" s="9">
        <f>Wsize</f>
        <v>0.33189999999999997</v>
      </c>
      <c r="H30" s="4" t="s">
        <v>42</v>
      </c>
      <c r="I30" s="58" t="s">
        <v>66</v>
      </c>
      <c r="J30" s="68">
        <f>G30*$E$29*$C$11</f>
        <v>6.9781477149999998E-3</v>
      </c>
      <c r="K30" s="210"/>
    </row>
    <row r="31" spans="2:11" ht="15" thickBot="1" x14ac:dyDescent="0.4">
      <c r="B31" s="173"/>
      <c r="C31" s="203"/>
      <c r="D31" s="206"/>
      <c r="E31" s="185" t="e">
        <f>(#REF!+#REF!*4+#REF!+#REF!+#REF!+#REF!)/9</f>
        <v>#REF!</v>
      </c>
      <c r="F31" s="187"/>
      <c r="G31" s="31">
        <f>Wprice</f>
        <v>0.19620000000000001</v>
      </c>
      <c r="H31" s="32" t="s">
        <v>43</v>
      </c>
      <c r="I31" s="59" t="s">
        <v>98</v>
      </c>
      <c r="J31" s="69">
        <f>G31*$E$29*$C$11</f>
        <v>4.1250755700000009E-3</v>
      </c>
      <c r="K31" s="214"/>
    </row>
    <row r="32" spans="2:11" x14ac:dyDescent="0.35">
      <c r="B32" s="173"/>
      <c r="C32" s="188">
        <f>Wenvironm</f>
        <v>0.34</v>
      </c>
      <c r="D32" s="191" t="s">
        <v>7</v>
      </c>
      <c r="E32" s="194">
        <v>1</v>
      </c>
      <c r="F32" s="197" t="s">
        <v>210</v>
      </c>
      <c r="G32" s="215">
        <v>1</v>
      </c>
      <c r="H32" s="221" t="s">
        <v>209</v>
      </c>
      <c r="I32" s="219" t="s">
        <v>211</v>
      </c>
      <c r="J32" s="223">
        <f>C32</f>
        <v>0.34</v>
      </c>
      <c r="K32" s="217">
        <f>J32</f>
        <v>0.34</v>
      </c>
    </row>
    <row r="33" spans="2:11" ht="15" thickBot="1" x14ac:dyDescent="0.4">
      <c r="B33" s="174"/>
      <c r="C33" s="190"/>
      <c r="D33" s="193"/>
      <c r="E33" s="196"/>
      <c r="F33" s="199"/>
      <c r="G33" s="216"/>
      <c r="H33" s="222"/>
      <c r="I33" s="220"/>
      <c r="J33" s="224"/>
      <c r="K33" s="218"/>
    </row>
    <row r="34" spans="2:11" ht="15" thickBot="1" x14ac:dyDescent="0.4">
      <c r="C34" s="35">
        <f>SUM(C6:C33)</f>
        <v>1</v>
      </c>
      <c r="D34" t="s">
        <v>62</v>
      </c>
      <c r="E34" s="36">
        <f>SUM(E6:E10)</f>
        <v>1</v>
      </c>
      <c r="F34" s="1" t="s">
        <v>58</v>
      </c>
      <c r="G34" s="39">
        <f>G6</f>
        <v>1</v>
      </c>
      <c r="H34" t="s">
        <v>12</v>
      </c>
      <c r="J34" s="33">
        <f>SUM(J6:J33)</f>
        <v>0.99996880466486049</v>
      </c>
      <c r="K34" s="34">
        <f>SUM(K6:K33)</f>
        <v>0.99996880466486071</v>
      </c>
    </row>
    <row r="35" spans="2:11" x14ac:dyDescent="0.35">
      <c r="E35" s="37">
        <f>E11+E15+E27+E28+E29</f>
        <v>1</v>
      </c>
      <c r="F35" s="1" t="s">
        <v>0</v>
      </c>
      <c r="G35" s="40">
        <f>SUM(G7:G9)</f>
        <v>1</v>
      </c>
      <c r="H35" t="s">
        <v>17</v>
      </c>
    </row>
    <row r="36" spans="2:11" ht="15" thickBot="1" x14ac:dyDescent="0.4">
      <c r="E36" s="38">
        <f>SUM(E32)</f>
        <v>1</v>
      </c>
      <c r="F36" s="1" t="s">
        <v>59</v>
      </c>
      <c r="G36" s="41">
        <f>G10</f>
        <v>1</v>
      </c>
      <c r="H36" t="s">
        <v>13</v>
      </c>
    </row>
    <row r="37" spans="2:11" x14ac:dyDescent="0.35">
      <c r="G37" s="42">
        <f>SUM(G11:G14)</f>
        <v>1</v>
      </c>
      <c r="H37" t="s">
        <v>60</v>
      </c>
    </row>
    <row r="38" spans="2:11" x14ac:dyDescent="0.35">
      <c r="G38" s="43">
        <f>SUM(G15:G26)</f>
        <v>1</v>
      </c>
      <c r="H38" t="s">
        <v>61</v>
      </c>
    </row>
    <row r="39" spans="2:11" x14ac:dyDescent="0.35">
      <c r="G39" s="41">
        <f>G27</f>
        <v>1</v>
      </c>
      <c r="H39" t="s">
        <v>14</v>
      </c>
    </row>
    <row r="40" spans="2:11" x14ac:dyDescent="0.35">
      <c r="G40" s="41">
        <f>G28</f>
        <v>1</v>
      </c>
      <c r="H40" t="s">
        <v>15</v>
      </c>
    </row>
    <row r="41" spans="2:11" x14ac:dyDescent="0.35">
      <c r="G41" s="44">
        <f>G31+G29+G30</f>
        <v>1</v>
      </c>
      <c r="H41" t="s">
        <v>16</v>
      </c>
    </row>
    <row r="42" spans="2:11" ht="15" thickBot="1" x14ac:dyDescent="0.4">
      <c r="G42" s="38">
        <f>SUM(G32:G33)</f>
        <v>1</v>
      </c>
      <c r="H42" t="s">
        <v>59</v>
      </c>
    </row>
  </sheetData>
  <mergeCells count="28">
    <mergeCell ref="G32:G33"/>
    <mergeCell ref="K32:K33"/>
    <mergeCell ref="I32:I33"/>
    <mergeCell ref="E29:E31"/>
    <mergeCell ref="F29:F31"/>
    <mergeCell ref="K29:K31"/>
    <mergeCell ref="H32:H33"/>
    <mergeCell ref="J32:J33"/>
    <mergeCell ref="K7:K9"/>
    <mergeCell ref="K11:K14"/>
    <mergeCell ref="K15:K19"/>
    <mergeCell ref="K22:K23"/>
    <mergeCell ref="K24:K26"/>
    <mergeCell ref="B5:B33"/>
    <mergeCell ref="C6:C10"/>
    <mergeCell ref="D6:D10"/>
    <mergeCell ref="E7:E9"/>
    <mergeCell ref="F7:F9"/>
    <mergeCell ref="E15:E26"/>
    <mergeCell ref="F15:F26"/>
    <mergeCell ref="C32:C33"/>
    <mergeCell ref="D32:D33"/>
    <mergeCell ref="E32:E33"/>
    <mergeCell ref="F32:F33"/>
    <mergeCell ref="C11:C31"/>
    <mergeCell ref="D11:D31"/>
    <mergeCell ref="E11:E14"/>
    <mergeCell ref="F11:F14"/>
  </mergeCells>
  <pageMargins left="0.7" right="0.7" top="0.75" bottom="0.75"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Q43"/>
  <sheetViews>
    <sheetView showGridLines="0" showRowColHeaders="0" zoomScaleNormal="100" workbookViewId="0">
      <selection activeCell="B3" sqref="B3"/>
    </sheetView>
  </sheetViews>
  <sheetFormatPr baseColWidth="10" defaultRowHeight="14.5" x14ac:dyDescent="0.35"/>
  <cols>
    <col min="1" max="1" width="2.1796875" customWidth="1"/>
    <col min="2" max="2" width="61.453125" customWidth="1"/>
    <col min="3" max="7" width="8.1796875" customWidth="1"/>
    <col min="10" max="10" width="2.1796875" customWidth="1"/>
    <col min="11" max="11" width="20.453125" customWidth="1"/>
    <col min="12" max="12" width="25.26953125" customWidth="1"/>
    <col min="14" max="14" width="2.54296875" customWidth="1"/>
    <col min="15" max="15" width="58.453125" customWidth="1"/>
  </cols>
  <sheetData>
    <row r="2" spans="2:17" ht="15.5" x14ac:dyDescent="0.35">
      <c r="B2" s="45" t="s">
        <v>223</v>
      </c>
    </row>
    <row r="3" spans="2:17" ht="15.5" x14ac:dyDescent="0.35">
      <c r="B3" s="45" t="s">
        <v>194</v>
      </c>
    </row>
    <row r="4" spans="2:17" ht="16" thickBot="1" x14ac:dyDescent="0.4">
      <c r="B4" s="45" t="s">
        <v>176</v>
      </c>
    </row>
    <row r="5" spans="2:17" x14ac:dyDescent="0.35">
      <c r="B5" s="228" t="s">
        <v>182</v>
      </c>
      <c r="C5" s="225" t="s">
        <v>78</v>
      </c>
      <c r="D5" s="226"/>
      <c r="E5" s="226"/>
      <c r="F5" s="226"/>
      <c r="G5" s="227"/>
      <c r="H5" s="225" t="s">
        <v>79</v>
      </c>
      <c r="I5" s="227"/>
      <c r="K5" s="234" t="s">
        <v>183</v>
      </c>
      <c r="L5" s="232" t="s">
        <v>184</v>
      </c>
      <c r="M5" s="230" t="s">
        <v>118</v>
      </c>
      <c r="O5" s="240" t="s">
        <v>185</v>
      </c>
      <c r="P5" s="241"/>
      <c r="Q5" s="242"/>
    </row>
    <row r="6" spans="2:17" ht="17" thickBot="1" x14ac:dyDescent="0.5">
      <c r="B6" s="229"/>
      <c r="C6" s="83" t="s">
        <v>131</v>
      </c>
      <c r="D6" s="84" t="s">
        <v>132</v>
      </c>
      <c r="E6" s="84" t="s">
        <v>133</v>
      </c>
      <c r="F6" s="84" t="s">
        <v>134</v>
      </c>
      <c r="G6" s="85" t="s">
        <v>135</v>
      </c>
      <c r="H6" s="86" t="s">
        <v>76</v>
      </c>
      <c r="I6" s="87" t="s">
        <v>77</v>
      </c>
      <c r="K6" s="235"/>
      <c r="L6" s="233"/>
      <c r="M6" s="231"/>
      <c r="O6" s="243" t="s">
        <v>187</v>
      </c>
      <c r="P6" s="244"/>
      <c r="Q6" s="245"/>
    </row>
    <row r="7" spans="2:17" ht="15" thickBot="1" x14ac:dyDescent="0.4">
      <c r="B7" s="77" t="s">
        <v>80</v>
      </c>
      <c r="C7" s="79">
        <v>24</v>
      </c>
      <c r="D7" s="75">
        <v>6</v>
      </c>
      <c r="E7" s="75">
        <v>11</v>
      </c>
      <c r="F7" s="75">
        <v>0.7</v>
      </c>
      <c r="G7" s="80">
        <v>3.5</v>
      </c>
      <c r="H7" s="79" t="s">
        <v>165</v>
      </c>
      <c r="I7" s="80" t="s">
        <v>73</v>
      </c>
      <c r="K7" s="238" t="s">
        <v>109</v>
      </c>
      <c r="L7" s="88" t="s">
        <v>145</v>
      </c>
      <c r="M7" s="89">
        <v>0.1</v>
      </c>
      <c r="O7" s="246" t="s">
        <v>186</v>
      </c>
      <c r="P7" s="247"/>
      <c r="Q7" s="248"/>
    </row>
    <row r="8" spans="2:17" x14ac:dyDescent="0.35">
      <c r="B8" s="78" t="s">
        <v>81</v>
      </c>
      <c r="C8" s="81">
        <v>1000</v>
      </c>
      <c r="D8" s="74">
        <v>300</v>
      </c>
      <c r="E8" s="74">
        <v>480</v>
      </c>
      <c r="F8" s="74">
        <v>0.9</v>
      </c>
      <c r="G8" s="82">
        <v>3.2</v>
      </c>
      <c r="H8" s="81" t="s">
        <v>165</v>
      </c>
      <c r="I8" s="82" t="s">
        <v>73</v>
      </c>
      <c r="K8" s="239"/>
      <c r="L8" s="74" t="s">
        <v>146</v>
      </c>
      <c r="M8" s="90">
        <v>0.3</v>
      </c>
      <c r="O8" s="148" t="s">
        <v>188</v>
      </c>
      <c r="P8" s="149" t="s">
        <v>189</v>
      </c>
      <c r="Q8" s="150" t="s">
        <v>190</v>
      </c>
    </row>
    <row r="9" spans="2:17" x14ac:dyDescent="0.35">
      <c r="B9" s="78" t="s">
        <v>82</v>
      </c>
      <c r="C9" s="81">
        <v>650</v>
      </c>
      <c r="D9" s="74">
        <v>250</v>
      </c>
      <c r="E9" s="74">
        <v>610</v>
      </c>
      <c r="F9" s="74">
        <v>0.01</v>
      </c>
      <c r="G9" s="82">
        <v>1</v>
      </c>
      <c r="H9" s="81" t="s">
        <v>165</v>
      </c>
      <c r="I9" s="82" t="s">
        <v>74</v>
      </c>
      <c r="K9" s="239"/>
      <c r="L9" s="74" t="s">
        <v>147</v>
      </c>
      <c r="M9" s="90">
        <v>0.5</v>
      </c>
      <c r="O9" s="81" t="s">
        <v>177</v>
      </c>
      <c r="P9" s="146" t="s">
        <v>178</v>
      </c>
      <c r="Q9" s="147">
        <f>IF(P9="Yes",50,0)</f>
        <v>50</v>
      </c>
    </row>
    <row r="10" spans="2:17" x14ac:dyDescent="0.35">
      <c r="B10" s="78" t="s">
        <v>83</v>
      </c>
      <c r="C10" s="81">
        <v>0.12</v>
      </c>
      <c r="D10" s="74">
        <v>0.02</v>
      </c>
      <c r="E10" s="74">
        <v>0.12</v>
      </c>
      <c r="F10" s="74">
        <v>0.01</v>
      </c>
      <c r="G10" s="82">
        <v>1</v>
      </c>
      <c r="H10" s="81" t="s">
        <v>165</v>
      </c>
      <c r="I10" s="82" t="s">
        <v>74</v>
      </c>
      <c r="K10" s="239"/>
      <c r="L10" s="74" t="s">
        <v>148</v>
      </c>
      <c r="M10" s="90">
        <v>0.7</v>
      </c>
      <c r="O10" s="81" t="s">
        <v>179</v>
      </c>
      <c r="P10" s="146" t="s">
        <v>178</v>
      </c>
      <c r="Q10" s="147">
        <f>IF(P10="Yes",30,0)</f>
        <v>30</v>
      </c>
    </row>
    <row r="11" spans="2:17" x14ac:dyDescent="0.35">
      <c r="B11" s="78" t="s">
        <v>84</v>
      </c>
      <c r="C11" s="81">
        <v>30</v>
      </c>
      <c r="D11" s="74">
        <v>10</v>
      </c>
      <c r="E11" s="74">
        <v>11</v>
      </c>
      <c r="F11" s="74">
        <v>0.8</v>
      </c>
      <c r="G11" s="82">
        <v>2.5</v>
      </c>
      <c r="H11" s="81" t="s">
        <v>165</v>
      </c>
      <c r="I11" s="82" t="s">
        <v>73</v>
      </c>
      <c r="K11" s="239"/>
      <c r="L11" s="74" t="s">
        <v>149</v>
      </c>
      <c r="M11" s="90">
        <v>0.9</v>
      </c>
      <c r="O11" s="81" t="s">
        <v>180</v>
      </c>
      <c r="P11" s="146" t="s">
        <v>178</v>
      </c>
      <c r="Q11" s="147">
        <f>IF(P11="Yes",10,0)</f>
        <v>10</v>
      </c>
    </row>
    <row r="12" spans="2:17" ht="15" thickBot="1" x14ac:dyDescent="0.4">
      <c r="B12" s="78" t="s">
        <v>85</v>
      </c>
      <c r="C12" s="81">
        <v>20</v>
      </c>
      <c r="D12" s="74">
        <v>100</v>
      </c>
      <c r="E12" s="74">
        <v>50</v>
      </c>
      <c r="F12" s="74">
        <v>1</v>
      </c>
      <c r="G12" s="82">
        <v>4.9000000000000004</v>
      </c>
      <c r="H12" s="81" t="s">
        <v>164</v>
      </c>
      <c r="I12" s="82" t="s">
        <v>73</v>
      </c>
      <c r="K12" s="239"/>
      <c r="L12" s="74" t="s">
        <v>102</v>
      </c>
      <c r="M12" s="90">
        <v>1</v>
      </c>
      <c r="O12" s="151" t="s">
        <v>181</v>
      </c>
      <c r="P12" s="152">
        <v>415</v>
      </c>
      <c r="Q12" s="153">
        <f>IF(P12&lt;250,0,IF(P12&gt;500,1,(P12/250)-1))</f>
        <v>0.65999999999999992</v>
      </c>
    </row>
    <row r="13" spans="2:17" ht="15" thickBot="1" x14ac:dyDescent="0.4">
      <c r="B13" s="78" t="s">
        <v>86</v>
      </c>
      <c r="C13" s="81">
        <v>20</v>
      </c>
      <c r="D13" s="74">
        <v>100</v>
      </c>
      <c r="E13" s="74">
        <v>50</v>
      </c>
      <c r="F13" s="74">
        <v>1</v>
      </c>
      <c r="G13" s="82">
        <v>4.9000000000000004</v>
      </c>
      <c r="H13" s="81" t="s">
        <v>164</v>
      </c>
      <c r="I13" s="82" t="s">
        <v>73</v>
      </c>
      <c r="K13" s="239" t="s">
        <v>110</v>
      </c>
      <c r="L13" s="74" t="s">
        <v>150</v>
      </c>
      <c r="M13" s="90">
        <v>0.1</v>
      </c>
      <c r="O13" s="154" t="s">
        <v>191</v>
      </c>
      <c r="P13" s="156">
        <f>(Q9+Q10+Q11+200*Q12)/290</f>
        <v>0.76551724137931021</v>
      </c>
      <c r="Q13" s="155"/>
    </row>
    <row r="14" spans="2:17" x14ac:dyDescent="0.35">
      <c r="B14" s="78" t="s">
        <v>87</v>
      </c>
      <c r="C14" s="81">
        <v>10</v>
      </c>
      <c r="D14" s="74">
        <v>100</v>
      </c>
      <c r="E14" s="74">
        <v>50</v>
      </c>
      <c r="F14" s="74">
        <v>0.98</v>
      </c>
      <c r="G14" s="82">
        <v>4.9000000000000004</v>
      </c>
      <c r="H14" s="81" t="s">
        <v>164</v>
      </c>
      <c r="I14" s="82" t="s">
        <v>73</v>
      </c>
      <c r="K14" s="239"/>
      <c r="L14" s="74" t="s">
        <v>151</v>
      </c>
      <c r="M14" s="90">
        <v>1</v>
      </c>
    </row>
    <row r="15" spans="2:17" x14ac:dyDescent="0.35">
      <c r="B15" s="78" t="s">
        <v>88</v>
      </c>
      <c r="C15" s="81">
        <v>10</v>
      </c>
      <c r="D15" s="74">
        <v>100</v>
      </c>
      <c r="E15" s="74">
        <v>50</v>
      </c>
      <c r="F15" s="74">
        <v>0.98</v>
      </c>
      <c r="G15" s="82">
        <v>4.9000000000000004</v>
      </c>
      <c r="H15" s="81" t="s">
        <v>164</v>
      </c>
      <c r="I15" s="82" t="s">
        <v>73</v>
      </c>
      <c r="K15" s="239" t="s">
        <v>111</v>
      </c>
      <c r="L15" s="74" t="s">
        <v>152</v>
      </c>
      <c r="M15" s="90">
        <v>0.1</v>
      </c>
    </row>
    <row r="16" spans="2:17" x14ac:dyDescent="0.35">
      <c r="B16" s="78" t="s">
        <v>89</v>
      </c>
      <c r="C16" s="81">
        <v>0.1</v>
      </c>
      <c r="D16" s="74">
        <v>0.2</v>
      </c>
      <c r="E16" s="74">
        <v>0.105</v>
      </c>
      <c r="F16" s="74">
        <v>1.8</v>
      </c>
      <c r="G16" s="82">
        <v>1.8</v>
      </c>
      <c r="H16" s="81" t="s">
        <v>164</v>
      </c>
      <c r="I16" s="82" t="s">
        <v>73</v>
      </c>
      <c r="K16" s="239"/>
      <c r="L16" s="74" t="s">
        <v>153</v>
      </c>
      <c r="M16" s="90">
        <v>1</v>
      </c>
    </row>
    <row r="17" spans="2:13" x14ac:dyDescent="0.35">
      <c r="B17" s="78" t="s">
        <v>90</v>
      </c>
      <c r="C17" s="81">
        <v>0.06</v>
      </c>
      <c r="D17" s="74">
        <v>0.2</v>
      </c>
      <c r="E17" s="74">
        <v>0.105</v>
      </c>
      <c r="F17" s="74">
        <v>1</v>
      </c>
      <c r="G17" s="82">
        <v>1.8</v>
      </c>
      <c r="H17" s="81" t="s">
        <v>164</v>
      </c>
      <c r="I17" s="82" t="s">
        <v>73</v>
      </c>
      <c r="K17" s="239"/>
      <c r="L17" s="74" t="s">
        <v>154</v>
      </c>
      <c r="M17" s="90">
        <v>0.5</v>
      </c>
    </row>
    <row r="18" spans="2:13" x14ac:dyDescent="0.35">
      <c r="B18" s="78" t="s">
        <v>91</v>
      </c>
      <c r="C18" s="81">
        <v>30</v>
      </c>
      <c r="D18" s="74">
        <v>10</v>
      </c>
      <c r="E18" s="74">
        <v>20</v>
      </c>
      <c r="F18" s="74">
        <v>0.8</v>
      </c>
      <c r="G18" s="82">
        <v>2.2000000000000002</v>
      </c>
      <c r="H18" s="81" t="s">
        <v>165</v>
      </c>
      <c r="I18" s="82" t="s">
        <v>75</v>
      </c>
      <c r="K18" s="239"/>
      <c r="L18" s="74" t="s">
        <v>103</v>
      </c>
      <c r="M18" s="90">
        <v>0.7</v>
      </c>
    </row>
    <row r="19" spans="2:13" x14ac:dyDescent="0.35">
      <c r="B19" s="78" t="s">
        <v>92</v>
      </c>
      <c r="C19" s="81">
        <v>400</v>
      </c>
      <c r="D19" s="74">
        <v>700</v>
      </c>
      <c r="E19" s="74">
        <v>430</v>
      </c>
      <c r="F19" s="74">
        <v>0.01</v>
      </c>
      <c r="G19" s="82">
        <v>1</v>
      </c>
      <c r="H19" s="81" t="s">
        <v>164</v>
      </c>
      <c r="I19" s="82" t="s">
        <v>74</v>
      </c>
      <c r="K19" s="239" t="s">
        <v>175</v>
      </c>
      <c r="L19" s="74" t="s">
        <v>155</v>
      </c>
      <c r="M19" s="90">
        <v>0.2</v>
      </c>
    </row>
    <row r="20" spans="2:13" x14ac:dyDescent="0.35">
      <c r="B20" s="78" t="s">
        <v>94</v>
      </c>
      <c r="C20" s="81">
        <v>15000</v>
      </c>
      <c r="D20" s="74">
        <v>150000</v>
      </c>
      <c r="E20" s="74">
        <v>68500</v>
      </c>
      <c r="F20" s="74">
        <v>1.3</v>
      </c>
      <c r="G20" s="82">
        <v>1.6</v>
      </c>
      <c r="H20" s="81" t="s">
        <v>164</v>
      </c>
      <c r="I20" s="82" t="s">
        <v>73</v>
      </c>
      <c r="K20" s="239"/>
      <c r="L20" s="74" t="s">
        <v>104</v>
      </c>
      <c r="M20" s="90">
        <v>1</v>
      </c>
    </row>
    <row r="21" spans="2:13" x14ac:dyDescent="0.35">
      <c r="B21" s="78" t="s">
        <v>99</v>
      </c>
      <c r="C21" s="81">
        <v>0</v>
      </c>
      <c r="D21" s="74">
        <v>10</v>
      </c>
      <c r="E21" s="74">
        <v>1</v>
      </c>
      <c r="F21" s="74">
        <v>0.01</v>
      </c>
      <c r="G21" s="82">
        <v>1</v>
      </c>
      <c r="H21" s="81" t="s">
        <v>164</v>
      </c>
      <c r="I21" s="82" t="s">
        <v>74</v>
      </c>
      <c r="K21" s="239"/>
      <c r="L21" s="74" t="s">
        <v>105</v>
      </c>
      <c r="M21" s="90">
        <v>0.8</v>
      </c>
    </row>
    <row r="22" spans="2:13" x14ac:dyDescent="0.35">
      <c r="B22" s="78" t="s">
        <v>100</v>
      </c>
      <c r="C22" s="81">
        <v>0</v>
      </c>
      <c r="D22" s="74">
        <v>10</v>
      </c>
      <c r="E22" s="74">
        <v>1</v>
      </c>
      <c r="F22" s="74">
        <v>0.01</v>
      </c>
      <c r="G22" s="82">
        <v>1</v>
      </c>
      <c r="H22" s="81" t="s">
        <v>164</v>
      </c>
      <c r="I22" s="82" t="s">
        <v>74</v>
      </c>
      <c r="K22" s="239" t="s">
        <v>112</v>
      </c>
      <c r="L22" s="74" t="s">
        <v>156</v>
      </c>
      <c r="M22" s="90">
        <v>0</v>
      </c>
    </row>
    <row r="23" spans="2:13" ht="15" thickBot="1" x14ac:dyDescent="0.4">
      <c r="B23" s="159" t="s">
        <v>101</v>
      </c>
      <c r="C23" s="151">
        <v>0</v>
      </c>
      <c r="D23" s="160">
        <v>10</v>
      </c>
      <c r="E23" s="160">
        <v>1</v>
      </c>
      <c r="F23" s="160">
        <v>0.01</v>
      </c>
      <c r="G23" s="161">
        <v>1</v>
      </c>
      <c r="H23" s="151" t="s">
        <v>164</v>
      </c>
      <c r="I23" s="161" t="s">
        <v>74</v>
      </c>
      <c r="K23" s="239"/>
      <c r="L23" s="74" t="s">
        <v>157</v>
      </c>
      <c r="M23" s="90">
        <v>0.35</v>
      </c>
    </row>
    <row r="24" spans="2:13" ht="15" thickBot="1" x14ac:dyDescent="0.4">
      <c r="B24" s="164" t="s">
        <v>215</v>
      </c>
      <c r="C24" s="165">
        <v>28</v>
      </c>
      <c r="D24" s="162">
        <v>8</v>
      </c>
      <c r="E24" s="162">
        <v>1</v>
      </c>
      <c r="F24" s="162">
        <v>0.01</v>
      </c>
      <c r="G24" s="163">
        <v>1</v>
      </c>
      <c r="H24" s="165" t="s">
        <v>222</v>
      </c>
      <c r="I24" s="163" t="s">
        <v>74</v>
      </c>
      <c r="K24" s="239"/>
      <c r="L24" s="74" t="s">
        <v>158</v>
      </c>
      <c r="M24" s="90">
        <v>0.75</v>
      </c>
    </row>
    <row r="25" spans="2:13" x14ac:dyDescent="0.35">
      <c r="K25" s="239"/>
      <c r="L25" s="74" t="s">
        <v>159</v>
      </c>
      <c r="M25" s="90">
        <v>1</v>
      </c>
    </row>
    <row r="26" spans="2:13" x14ac:dyDescent="0.35">
      <c r="K26" s="239"/>
      <c r="L26" s="74" t="s">
        <v>160</v>
      </c>
      <c r="M26" s="90">
        <v>1</v>
      </c>
    </row>
    <row r="27" spans="2:13" x14ac:dyDescent="0.35">
      <c r="K27" s="239"/>
      <c r="L27" s="74" t="s">
        <v>161</v>
      </c>
      <c r="M27" s="90">
        <v>1</v>
      </c>
    </row>
    <row r="28" spans="2:13" x14ac:dyDescent="0.35">
      <c r="K28" s="239" t="s">
        <v>113</v>
      </c>
      <c r="L28" s="74" t="s">
        <v>162</v>
      </c>
      <c r="M28" s="90">
        <v>1</v>
      </c>
    </row>
    <row r="29" spans="2:13" x14ac:dyDescent="0.35">
      <c r="K29" s="239"/>
      <c r="L29" s="74" t="s">
        <v>106</v>
      </c>
      <c r="M29" s="90">
        <v>0</v>
      </c>
    </row>
    <row r="30" spans="2:13" x14ac:dyDescent="0.35">
      <c r="K30" s="239" t="s">
        <v>114</v>
      </c>
      <c r="L30" s="74" t="s">
        <v>163</v>
      </c>
      <c r="M30" s="90">
        <v>1</v>
      </c>
    </row>
    <row r="31" spans="2:13" x14ac:dyDescent="0.35">
      <c r="K31" s="239"/>
      <c r="L31" s="74" t="s">
        <v>107</v>
      </c>
      <c r="M31" s="90">
        <v>0.4</v>
      </c>
    </row>
    <row r="32" spans="2:13" x14ac:dyDescent="0.35">
      <c r="K32" s="239"/>
      <c r="L32" s="74" t="s">
        <v>108</v>
      </c>
      <c r="M32" s="90">
        <v>0</v>
      </c>
    </row>
    <row r="33" spans="11:13" x14ac:dyDescent="0.35">
      <c r="K33" s="239" t="s">
        <v>119</v>
      </c>
      <c r="L33" s="74" t="s">
        <v>120</v>
      </c>
      <c r="M33" s="90">
        <v>1</v>
      </c>
    </row>
    <row r="34" spans="11:13" x14ac:dyDescent="0.35">
      <c r="K34" s="239"/>
      <c r="L34" s="74" t="s">
        <v>121</v>
      </c>
      <c r="M34" s="90">
        <v>0.6</v>
      </c>
    </row>
    <row r="35" spans="11:13" x14ac:dyDescent="0.35">
      <c r="K35" s="239"/>
      <c r="L35" s="74" t="s">
        <v>122</v>
      </c>
      <c r="M35" s="90">
        <v>0</v>
      </c>
    </row>
    <row r="36" spans="11:13" x14ac:dyDescent="0.35">
      <c r="K36" s="236" t="s">
        <v>116</v>
      </c>
      <c r="L36" s="74" t="s">
        <v>123</v>
      </c>
      <c r="M36" s="90">
        <v>0</v>
      </c>
    </row>
    <row r="37" spans="11:13" x14ac:dyDescent="0.35">
      <c r="K37" s="236"/>
      <c r="L37" s="74" t="s">
        <v>124</v>
      </c>
      <c r="M37" s="90">
        <v>0.5</v>
      </c>
    </row>
    <row r="38" spans="11:13" x14ac:dyDescent="0.35">
      <c r="K38" s="236"/>
      <c r="L38" s="74" t="s">
        <v>125</v>
      </c>
      <c r="M38" s="90">
        <v>1</v>
      </c>
    </row>
    <row r="39" spans="11:13" x14ac:dyDescent="0.35">
      <c r="K39" s="236" t="s">
        <v>117</v>
      </c>
      <c r="L39" s="74" t="s">
        <v>126</v>
      </c>
      <c r="M39" s="90">
        <v>1</v>
      </c>
    </row>
    <row r="40" spans="11:13" x14ac:dyDescent="0.35">
      <c r="K40" s="236"/>
      <c r="L40" s="74" t="s">
        <v>127</v>
      </c>
      <c r="M40" s="90">
        <v>0.7</v>
      </c>
    </row>
    <row r="41" spans="11:13" x14ac:dyDescent="0.35">
      <c r="K41" s="236"/>
      <c r="L41" s="74" t="s">
        <v>128</v>
      </c>
      <c r="M41" s="90">
        <v>0.4</v>
      </c>
    </row>
    <row r="42" spans="11:13" x14ac:dyDescent="0.35">
      <c r="K42" s="236"/>
      <c r="L42" s="74" t="s">
        <v>129</v>
      </c>
      <c r="M42" s="90">
        <v>0.2</v>
      </c>
    </row>
    <row r="43" spans="11:13" ht="15" thickBot="1" x14ac:dyDescent="0.4">
      <c r="K43" s="237"/>
      <c r="L43" s="76" t="s">
        <v>130</v>
      </c>
      <c r="M43" s="91">
        <v>0</v>
      </c>
    </row>
  </sheetData>
  <mergeCells count="19">
    <mergeCell ref="O5:Q5"/>
    <mergeCell ref="O6:Q6"/>
    <mergeCell ref="O7:Q7"/>
    <mergeCell ref="K30:K32"/>
    <mergeCell ref="K33:K35"/>
    <mergeCell ref="K36:K38"/>
    <mergeCell ref="K39:K43"/>
    <mergeCell ref="K7:K12"/>
    <mergeCell ref="K13:K14"/>
    <mergeCell ref="K15:K18"/>
    <mergeCell ref="K19:K21"/>
    <mergeCell ref="K22:K27"/>
    <mergeCell ref="K28:K29"/>
    <mergeCell ref="C5:G5"/>
    <mergeCell ref="H5:I5"/>
    <mergeCell ref="B5:B6"/>
    <mergeCell ref="M5:M6"/>
    <mergeCell ref="L5:L6"/>
    <mergeCell ref="K5:K6"/>
  </mergeCells>
  <dataValidations count="1">
    <dataValidation type="list" allowBlank="1" showInputMessage="1" showErrorMessage="1" sqref="P9:P11" xr:uid="{00000000-0002-0000-0300-000000000000}">
      <formula1>"Yes,No"</formula1>
    </dataValidation>
  </dataValidations>
  <pageMargins left="0.7" right="0.7" top="0.75" bottom="0.75"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T50"/>
  <sheetViews>
    <sheetView showGridLines="0" showRowColHeaders="0" tabSelected="1" zoomScale="110" zoomScaleNormal="110" workbookViewId="0">
      <selection activeCell="E11" sqref="E11:M11"/>
    </sheetView>
  </sheetViews>
  <sheetFormatPr baseColWidth="10" defaultRowHeight="14.5" x14ac:dyDescent="0.35"/>
  <cols>
    <col min="1" max="1" width="2.453125" customWidth="1"/>
    <col min="2" max="2" width="8.54296875" customWidth="1"/>
    <col min="3" max="3" width="4.7265625" customWidth="1"/>
    <col min="4" max="5" width="8.453125" customWidth="1"/>
    <col min="6" max="6" width="11.81640625" customWidth="1"/>
    <col min="7" max="7" width="8.453125" customWidth="1"/>
    <col min="8" max="8" width="20.54296875" style="1" bestFit="1" customWidth="1"/>
    <col min="9" max="9" width="10" customWidth="1"/>
    <col min="10" max="10" width="58.54296875" customWidth="1"/>
    <col min="11" max="11" width="8.453125" customWidth="1"/>
    <col min="12" max="12" width="24.7265625" customWidth="1"/>
    <col min="13" max="13" width="41.26953125" customWidth="1"/>
    <col min="14" max="14" width="2.1796875" customWidth="1"/>
    <col min="15" max="19" width="7.453125" hidden="1" customWidth="1"/>
    <col min="20" max="20" width="0" hidden="1" customWidth="1"/>
  </cols>
  <sheetData>
    <row r="2" spans="1:20" ht="18.75" customHeight="1" x14ac:dyDescent="0.35">
      <c r="C2" s="45" t="s">
        <v>225</v>
      </c>
    </row>
    <row r="3" spans="1:20" ht="18.75" customHeight="1" x14ac:dyDescent="0.35">
      <c r="C3" s="45" t="s">
        <v>67</v>
      </c>
      <c r="J3" s="73"/>
      <c r="K3" s="73"/>
      <c r="L3" s="73"/>
      <c r="M3" s="73"/>
    </row>
    <row r="4" spans="1:20" ht="18.75" customHeight="1" x14ac:dyDescent="0.45">
      <c r="C4" s="45" t="s">
        <v>196</v>
      </c>
      <c r="J4" s="73"/>
      <c r="K4" s="73"/>
      <c r="L4" s="73"/>
      <c r="M4" s="73"/>
    </row>
    <row r="5" spans="1:20" ht="18.75" customHeight="1" x14ac:dyDescent="0.45">
      <c r="C5" s="45" t="s">
        <v>197</v>
      </c>
      <c r="J5" s="73"/>
      <c r="K5" s="73"/>
      <c r="L5" s="73"/>
      <c r="M5" s="73"/>
    </row>
    <row r="6" spans="1:20" ht="18.75" customHeight="1" x14ac:dyDescent="0.35">
      <c r="C6" s="45" t="s">
        <v>198</v>
      </c>
      <c r="J6" s="73"/>
      <c r="K6" s="73"/>
      <c r="L6" s="73"/>
      <c r="M6" s="73"/>
    </row>
    <row r="7" spans="1:20" ht="18.75" customHeight="1" x14ac:dyDescent="0.45">
      <c r="C7" s="45" t="s">
        <v>199</v>
      </c>
      <c r="J7" s="73"/>
      <c r="K7" s="73"/>
      <c r="L7" s="73"/>
      <c r="M7" s="73"/>
    </row>
    <row r="8" spans="1:20" ht="18.75" customHeight="1" x14ac:dyDescent="0.35">
      <c r="C8" s="45" t="s">
        <v>207</v>
      </c>
      <c r="J8" s="73"/>
      <c r="K8" s="73"/>
      <c r="L8" s="73"/>
      <c r="M8" s="73"/>
    </row>
    <row r="9" spans="1:20" ht="18.75" customHeight="1" x14ac:dyDescent="0.35">
      <c r="C9" s="45" t="s">
        <v>201</v>
      </c>
      <c r="J9" s="73"/>
      <c r="K9" s="73"/>
      <c r="L9" s="73"/>
      <c r="M9" s="73"/>
    </row>
    <row r="10" spans="1:20" ht="18.75" customHeight="1" x14ac:dyDescent="0.35">
      <c r="C10" s="45" t="s">
        <v>200</v>
      </c>
    </row>
    <row r="11" spans="1:20" ht="18.75" customHeight="1" thickBot="1" x14ac:dyDescent="0.4">
      <c r="C11" s="258" t="s">
        <v>221</v>
      </c>
      <c r="D11" s="258"/>
      <c r="E11" s="259" t="s">
        <v>202</v>
      </c>
      <c r="F11" s="259"/>
      <c r="G11" s="259"/>
      <c r="H11" s="259"/>
      <c r="I11" s="259"/>
      <c r="J11" s="259"/>
      <c r="K11" s="259"/>
      <c r="L11" s="259"/>
      <c r="M11" s="259"/>
    </row>
    <row r="12" spans="1:20" ht="18.75" customHeight="1" thickBot="1" x14ac:dyDescent="0.5">
      <c r="C12" s="172" t="s">
        <v>6</v>
      </c>
      <c r="D12" s="104" t="s">
        <v>68</v>
      </c>
      <c r="E12" s="267" t="s">
        <v>8</v>
      </c>
      <c r="F12" s="268"/>
      <c r="G12" s="11" t="s">
        <v>69</v>
      </c>
      <c r="H12" s="12" t="s">
        <v>9</v>
      </c>
      <c r="I12" s="11" t="s">
        <v>70</v>
      </c>
      <c r="J12" s="11" t="s">
        <v>10</v>
      </c>
      <c r="K12" s="11" t="s">
        <v>144</v>
      </c>
      <c r="L12" s="11" t="s">
        <v>143</v>
      </c>
      <c r="M12" s="113" t="s">
        <v>11</v>
      </c>
      <c r="O12" s="141" t="s">
        <v>166</v>
      </c>
      <c r="P12" s="141" t="s">
        <v>167</v>
      </c>
      <c r="Q12" s="141" t="s">
        <v>168</v>
      </c>
      <c r="R12" s="141" t="s">
        <v>169</v>
      </c>
      <c r="S12" s="141" t="s">
        <v>170</v>
      </c>
      <c r="T12" t="s">
        <v>76</v>
      </c>
    </row>
    <row r="13" spans="1:20" ht="15" customHeight="1" x14ac:dyDescent="0.35">
      <c r="C13" s="173"/>
      <c r="D13" s="261">
        <f>Weconom</f>
        <v>0.32890000000000003</v>
      </c>
      <c r="E13" s="105"/>
      <c r="F13" s="178" t="s">
        <v>137</v>
      </c>
      <c r="G13" s="15">
        <f>Wacqcost</f>
        <v>0.37519999999999998</v>
      </c>
      <c r="H13" s="50" t="s">
        <v>12</v>
      </c>
      <c r="I13" s="16">
        <v>1</v>
      </c>
      <c r="J13" s="17" t="s">
        <v>12</v>
      </c>
      <c r="K13" s="133">
        <f>IF(T13="Decreasing",IF(L13&lt;P13,1,IF(L13&gt;O13,0,(1-EXP(-R13*((ABS(L13-O13))/Q13)^S13))/(1-EXP(-R13*((ABS(P13-O13))/Q13)^S13)))),IF(T13="Increasing",IF(L13&gt;P13,1,IF(L13&lt;O13,0,(1-EXP(-R13*((ABS(L13-O13))/Q13)^S13))/(1-EXP(-R13*((ABS(P13-O13))/Q13)^S13))))))</f>
        <v>0</v>
      </c>
      <c r="L13" s="123">
        <v>24.48</v>
      </c>
      <c r="M13" s="114" t="s">
        <v>46</v>
      </c>
      <c r="O13">
        <f>'3-ValueFunctions'!C7</f>
        <v>24</v>
      </c>
      <c r="P13">
        <f>'3-ValueFunctions'!D7</f>
        <v>6</v>
      </c>
      <c r="Q13">
        <f>'3-ValueFunctions'!E7</f>
        <v>11</v>
      </c>
      <c r="R13">
        <f>'3-ValueFunctions'!F7</f>
        <v>0.7</v>
      </c>
      <c r="S13">
        <f>'3-ValueFunctions'!G7</f>
        <v>3.5</v>
      </c>
      <c r="T13" t="str">
        <f>'3-ValueFunctions'!H7</f>
        <v>Decreasing</v>
      </c>
    </row>
    <row r="14" spans="1:20" ht="15" customHeight="1" x14ac:dyDescent="0.35">
      <c r="A14" s="2"/>
      <c r="B14" s="2"/>
      <c r="C14" s="173"/>
      <c r="D14" s="262"/>
      <c r="E14" s="110" t="s">
        <v>140</v>
      </c>
      <c r="F14" s="179"/>
      <c r="G14" s="181">
        <f>Wusecost</f>
        <v>0.49149999999999999</v>
      </c>
      <c r="H14" s="182" t="s">
        <v>17</v>
      </c>
      <c r="I14" s="5">
        <f>Wmaintcosts</f>
        <v>0.3332</v>
      </c>
      <c r="J14" s="3" t="s">
        <v>23</v>
      </c>
      <c r="K14" s="134">
        <f t="shared" ref="K14:K21" si="0">IF(T14="Decreasing",IF(L14&lt;P14,1,IF(L14&gt;O14,0,(1-EXP(-R14*((ABS(L14-O14))/Q14)^S14))/(1-EXP(-R14*((ABS(P14-O14))/Q14)^S14)))),IF(T14="Increasing",IF(L14&gt;P14,1,IF(L14&lt;O14,0,(1-EXP(-R14*((ABS(L14-O14))/Q14)^S14))/(1-EXP(-R14*((ABS(P14-O14))/Q14)^S14))))))</f>
        <v>9.2025490614246058E-2</v>
      </c>
      <c r="L14" s="124">
        <v>765</v>
      </c>
      <c r="M14" s="115" t="s">
        <v>47</v>
      </c>
      <c r="O14">
        <f>'3-ValueFunctions'!C8</f>
        <v>1000</v>
      </c>
      <c r="P14">
        <f>'3-ValueFunctions'!D8</f>
        <v>300</v>
      </c>
      <c r="Q14">
        <f>'3-ValueFunctions'!E8</f>
        <v>480</v>
      </c>
      <c r="R14">
        <f>'3-ValueFunctions'!F8</f>
        <v>0.9</v>
      </c>
      <c r="S14">
        <f>'3-ValueFunctions'!G8</f>
        <v>3.2</v>
      </c>
      <c r="T14" t="str">
        <f>'3-ValueFunctions'!H8</f>
        <v>Decreasing</v>
      </c>
    </row>
    <row r="15" spans="1:20" x14ac:dyDescent="0.35">
      <c r="C15" s="173"/>
      <c r="D15" s="262"/>
      <c r="E15" s="143">
        <f>K13*I13*G13+(K14*I14+K15*I15+K16*I16)*G14+K17*I17*G17</f>
        <v>0.2070685140333251</v>
      </c>
      <c r="F15" s="179"/>
      <c r="G15" s="181"/>
      <c r="H15" s="182"/>
      <c r="I15" s="5">
        <f>Wfixedcost</f>
        <v>0.11840000000000001</v>
      </c>
      <c r="J15" s="3" t="s">
        <v>25</v>
      </c>
      <c r="K15" s="134">
        <f t="shared" si="0"/>
        <v>0.45081156337589751</v>
      </c>
      <c r="L15" s="124">
        <v>470</v>
      </c>
      <c r="M15" s="115" t="s">
        <v>47</v>
      </c>
      <c r="O15">
        <f>'3-ValueFunctions'!C9</f>
        <v>650</v>
      </c>
      <c r="P15">
        <f>'3-ValueFunctions'!D9</f>
        <v>250</v>
      </c>
      <c r="Q15">
        <f>'3-ValueFunctions'!E9</f>
        <v>610</v>
      </c>
      <c r="R15">
        <f>'3-ValueFunctions'!F9</f>
        <v>0.01</v>
      </c>
      <c r="S15">
        <f>'3-ValueFunctions'!G9</f>
        <v>1</v>
      </c>
      <c r="T15" t="str">
        <f>'3-ValueFunctions'!H9</f>
        <v>Decreasing</v>
      </c>
    </row>
    <row r="16" spans="1:20" x14ac:dyDescent="0.35">
      <c r="C16" s="173"/>
      <c r="D16" s="262"/>
      <c r="E16" s="102"/>
      <c r="F16" s="179"/>
      <c r="G16" s="181"/>
      <c r="H16" s="182"/>
      <c r="I16" s="5">
        <f>Wfuel</f>
        <v>0.5484</v>
      </c>
      <c r="J16" s="3" t="s">
        <v>24</v>
      </c>
      <c r="K16" s="134">
        <f t="shared" si="0"/>
        <v>0.12044046417484454</v>
      </c>
      <c r="L16" s="124">
        <v>0.108</v>
      </c>
      <c r="M16" s="115" t="s">
        <v>1</v>
      </c>
      <c r="O16">
        <f>'3-ValueFunctions'!C10</f>
        <v>0.12</v>
      </c>
      <c r="P16">
        <f>'3-ValueFunctions'!D10</f>
        <v>0.02</v>
      </c>
      <c r="Q16">
        <f>'3-ValueFunctions'!E10</f>
        <v>0.12</v>
      </c>
      <c r="R16">
        <f>'3-ValueFunctions'!F10</f>
        <v>0.01</v>
      </c>
      <c r="S16">
        <f>'3-ValueFunctions'!G10</f>
        <v>1</v>
      </c>
      <c r="T16" t="str">
        <f>'3-ValueFunctions'!H10</f>
        <v>Decreasing</v>
      </c>
    </row>
    <row r="17" spans="2:20" ht="15.75" customHeight="1" thickBot="1" x14ac:dyDescent="0.4">
      <c r="C17" s="173"/>
      <c r="D17" s="263"/>
      <c r="E17" s="106"/>
      <c r="F17" s="180"/>
      <c r="G17" s="23">
        <f>Wresidvalue</f>
        <v>0.1333</v>
      </c>
      <c r="H17" s="51" t="s">
        <v>13</v>
      </c>
      <c r="I17" s="24">
        <v>1</v>
      </c>
      <c r="J17" s="25" t="s">
        <v>26</v>
      </c>
      <c r="K17" s="135">
        <f t="shared" si="0"/>
        <v>1</v>
      </c>
      <c r="L17" s="125">
        <v>10</v>
      </c>
      <c r="M17" s="116" t="s">
        <v>2</v>
      </c>
      <c r="O17">
        <f>'3-ValueFunctions'!C11</f>
        <v>30</v>
      </c>
      <c r="P17">
        <f>'3-ValueFunctions'!D11</f>
        <v>10</v>
      </c>
      <c r="Q17">
        <f>'3-ValueFunctions'!E11</f>
        <v>11</v>
      </c>
      <c r="R17">
        <f>'3-ValueFunctions'!F11</f>
        <v>0.8</v>
      </c>
      <c r="S17">
        <f>'3-ValueFunctions'!G11</f>
        <v>2.5</v>
      </c>
      <c r="T17" t="str">
        <f>'3-ValueFunctions'!H11</f>
        <v>Decreasing</v>
      </c>
    </row>
    <row r="18" spans="2:20" ht="15" customHeight="1" x14ac:dyDescent="0.35">
      <c r="C18" s="173"/>
      <c r="D18" s="264">
        <f>Wsocial</f>
        <v>0.33110000000000001</v>
      </c>
      <c r="E18" s="107"/>
      <c r="F18" s="204" t="s">
        <v>138</v>
      </c>
      <c r="G18" s="207">
        <f>Weuroncap</f>
        <v>0.31159999999999999</v>
      </c>
      <c r="H18" s="208" t="s">
        <v>20</v>
      </c>
      <c r="I18" s="29">
        <f>Wncapadults</f>
        <v>0.27310000000000001</v>
      </c>
      <c r="J18" s="30" t="s">
        <v>27</v>
      </c>
      <c r="K18" s="136">
        <f t="shared" si="0"/>
        <v>0.98906498072985638</v>
      </c>
      <c r="L18" s="126">
        <v>88</v>
      </c>
      <c r="M18" s="117" t="s">
        <v>48</v>
      </c>
      <c r="O18">
        <f>'3-ValueFunctions'!C12</f>
        <v>20</v>
      </c>
      <c r="P18">
        <f>'3-ValueFunctions'!D12</f>
        <v>100</v>
      </c>
      <c r="Q18">
        <f>'3-ValueFunctions'!E12</f>
        <v>50</v>
      </c>
      <c r="R18">
        <f>'3-ValueFunctions'!F12</f>
        <v>1</v>
      </c>
      <c r="S18">
        <f>'3-ValueFunctions'!G12</f>
        <v>4.9000000000000004</v>
      </c>
      <c r="T18" t="str">
        <f>'3-ValueFunctions'!H12</f>
        <v>Increasing</v>
      </c>
    </row>
    <row r="19" spans="2:20" ht="15" customHeight="1" x14ac:dyDescent="0.35">
      <c r="C19" s="173"/>
      <c r="D19" s="265"/>
      <c r="E19" s="103"/>
      <c r="F19" s="205"/>
      <c r="G19" s="183"/>
      <c r="H19" s="184"/>
      <c r="I19" s="6">
        <f>Wncapchild</f>
        <v>0.31519999999999998</v>
      </c>
      <c r="J19" s="4" t="s">
        <v>28</v>
      </c>
      <c r="K19" s="132">
        <f t="shared" si="0"/>
        <v>0.92935513799285097</v>
      </c>
      <c r="L19" s="127">
        <v>81</v>
      </c>
      <c r="M19" s="118" t="s">
        <v>48</v>
      </c>
      <c r="O19">
        <f>'3-ValueFunctions'!C13</f>
        <v>20</v>
      </c>
      <c r="P19">
        <f>'3-ValueFunctions'!D13</f>
        <v>100</v>
      </c>
      <c r="Q19">
        <f>'3-ValueFunctions'!E13</f>
        <v>50</v>
      </c>
      <c r="R19">
        <f>'3-ValueFunctions'!F13</f>
        <v>1</v>
      </c>
      <c r="S19">
        <f>'3-ValueFunctions'!G13</f>
        <v>4.9000000000000004</v>
      </c>
      <c r="T19" t="str">
        <f>'3-ValueFunctions'!H13</f>
        <v>Increasing</v>
      </c>
    </row>
    <row r="20" spans="2:20" x14ac:dyDescent="0.35">
      <c r="C20" s="173"/>
      <c r="D20" s="265"/>
      <c r="E20" s="103"/>
      <c r="F20" s="205"/>
      <c r="G20" s="183"/>
      <c r="H20" s="184"/>
      <c r="I20" s="6">
        <f>Wncaproadusers</f>
        <v>0.2661</v>
      </c>
      <c r="J20" s="4" t="s">
        <v>29</v>
      </c>
      <c r="K20" s="132">
        <f t="shared" si="0"/>
        <v>0.99134265065594473</v>
      </c>
      <c r="L20" s="127">
        <v>79</v>
      </c>
      <c r="M20" s="118" t="s">
        <v>48</v>
      </c>
      <c r="O20">
        <f>'3-ValueFunctions'!C14</f>
        <v>10</v>
      </c>
      <c r="P20">
        <f>'3-ValueFunctions'!D14</f>
        <v>100</v>
      </c>
      <c r="Q20">
        <f>'3-ValueFunctions'!E14</f>
        <v>50</v>
      </c>
      <c r="R20">
        <f>'3-ValueFunctions'!F14</f>
        <v>0.98</v>
      </c>
      <c r="S20">
        <f>'3-ValueFunctions'!G14</f>
        <v>4.9000000000000004</v>
      </c>
      <c r="T20" t="str">
        <f>'3-ValueFunctions'!H14</f>
        <v>Increasing</v>
      </c>
    </row>
    <row r="21" spans="2:20" x14ac:dyDescent="0.35">
      <c r="C21" s="173"/>
      <c r="D21" s="265"/>
      <c r="E21" s="103"/>
      <c r="F21" s="205"/>
      <c r="G21" s="183"/>
      <c r="H21" s="184"/>
      <c r="I21" s="6">
        <f>Wncapaids</f>
        <v>0.14560000000000001</v>
      </c>
      <c r="J21" s="4" t="s">
        <v>30</v>
      </c>
      <c r="K21" s="132">
        <f t="shared" si="0"/>
        <v>0.99998437928879336</v>
      </c>
      <c r="L21" s="127">
        <v>92</v>
      </c>
      <c r="M21" s="118" t="s">
        <v>48</v>
      </c>
      <c r="O21">
        <f>'3-ValueFunctions'!C15</f>
        <v>10</v>
      </c>
      <c r="P21">
        <f>'3-ValueFunctions'!D15</f>
        <v>100</v>
      </c>
      <c r="Q21">
        <f>'3-ValueFunctions'!E15</f>
        <v>50</v>
      </c>
      <c r="R21">
        <f>'3-ValueFunctions'!F15</f>
        <v>0.98</v>
      </c>
      <c r="S21">
        <f>'3-ValueFunctions'!G15</f>
        <v>4.9000000000000004</v>
      </c>
      <c r="T21" t="str">
        <f>'3-ValueFunctions'!H15</f>
        <v>Increasing</v>
      </c>
    </row>
    <row r="22" spans="2:20" ht="15" customHeight="1" x14ac:dyDescent="0.35">
      <c r="C22" s="173"/>
      <c r="D22" s="265"/>
      <c r="E22" s="103"/>
      <c r="F22" s="205"/>
      <c r="G22" s="183">
        <f>Wfunctional</f>
        <v>0.28210000000000002</v>
      </c>
      <c r="H22" s="184" t="s">
        <v>18</v>
      </c>
      <c r="I22" s="7">
        <f>Wseats</f>
        <v>0.11260000000000001</v>
      </c>
      <c r="J22" s="4" t="s">
        <v>31</v>
      </c>
      <c r="K22" s="132">
        <f>VLOOKUP(L22,'3-ValueFunctions'!L7:M12,2,FALSE)</f>
        <v>0.9</v>
      </c>
      <c r="L22" s="127" t="s">
        <v>149</v>
      </c>
      <c r="M22" s="118" t="s">
        <v>50</v>
      </c>
      <c r="O22" t="s">
        <v>171</v>
      </c>
    </row>
    <row r="23" spans="2:20" ht="15" thickBot="1" x14ac:dyDescent="0.4">
      <c r="C23" s="173"/>
      <c r="D23" s="265"/>
      <c r="E23" s="103"/>
      <c r="F23" s="205"/>
      <c r="G23" s="183"/>
      <c r="H23" s="184"/>
      <c r="I23" s="7">
        <f>Wdoors</f>
        <v>7.3400000000000007E-2</v>
      </c>
      <c r="J23" s="4" t="s">
        <v>32</v>
      </c>
      <c r="K23" s="132">
        <f>VLOOKUP(L23,'3-ValueFunctions'!L13:M14,2,FALSE)</f>
        <v>1</v>
      </c>
      <c r="L23" s="127" t="s">
        <v>151</v>
      </c>
      <c r="M23" s="118" t="s">
        <v>51</v>
      </c>
      <c r="O23" t="s">
        <v>171</v>
      </c>
    </row>
    <row r="24" spans="2:20" x14ac:dyDescent="0.35">
      <c r="B24" s="92" t="s">
        <v>136</v>
      </c>
      <c r="C24" s="260"/>
      <c r="D24" s="265"/>
      <c r="E24" s="103"/>
      <c r="F24" s="205"/>
      <c r="G24" s="183"/>
      <c r="H24" s="184"/>
      <c r="I24" s="7">
        <f>Waccessheight</f>
        <v>4.8300000000000003E-2</v>
      </c>
      <c r="J24" s="4" t="s">
        <v>33</v>
      </c>
      <c r="K24" s="132">
        <f>VLOOKUP(L24,'3-ValueFunctions'!L15:M18,2,FALSE)</f>
        <v>0.7</v>
      </c>
      <c r="L24" s="127" t="s">
        <v>103</v>
      </c>
      <c r="M24" s="118" t="s">
        <v>52</v>
      </c>
      <c r="O24" t="s">
        <v>171</v>
      </c>
    </row>
    <row r="25" spans="2:20" ht="15" thickBot="1" x14ac:dyDescent="0.4">
      <c r="B25" s="142">
        <f>E15*D13+E28*D18+E40*D39</f>
        <v>0.54726886461442703</v>
      </c>
      <c r="C25" s="260"/>
      <c r="D25" s="265"/>
      <c r="E25" s="103"/>
      <c r="F25" s="205"/>
      <c r="G25" s="183"/>
      <c r="H25" s="184"/>
      <c r="I25" s="7">
        <f>Wsuspension</f>
        <v>4.1200000000000001E-2</v>
      </c>
      <c r="J25" s="4" t="s">
        <v>34</v>
      </c>
      <c r="K25" s="132">
        <f>VLOOKUP(L25,'3-ValueFunctions'!L19:M21,2,FALSE)</f>
        <v>0.8</v>
      </c>
      <c r="L25" s="127" t="s">
        <v>105</v>
      </c>
      <c r="M25" s="118" t="s">
        <v>55</v>
      </c>
      <c r="O25" t="s">
        <v>171</v>
      </c>
    </row>
    <row r="26" spans="2:20" x14ac:dyDescent="0.35">
      <c r="C26" s="173"/>
      <c r="D26" s="265"/>
      <c r="E26" s="103"/>
      <c r="F26" s="205"/>
      <c r="G26" s="183"/>
      <c r="H26" s="184"/>
      <c r="I26" s="7">
        <f>Wboot</f>
        <v>6.2399999999999997E-2</v>
      </c>
      <c r="J26" s="4" t="s">
        <v>35</v>
      </c>
      <c r="K26" s="157">
        <f>'3-ValueFunctions'!P13</f>
        <v>0.76551724137931021</v>
      </c>
      <c r="L26" s="254" t="s">
        <v>192</v>
      </c>
      <c r="M26" s="255"/>
      <c r="O26" t="s">
        <v>172</v>
      </c>
    </row>
    <row r="27" spans="2:20" x14ac:dyDescent="0.35">
      <c r="C27" s="173"/>
      <c r="D27" s="265"/>
      <c r="E27" s="111" t="s">
        <v>141</v>
      </c>
      <c r="F27" s="205"/>
      <c r="G27" s="183"/>
      <c r="H27" s="184"/>
      <c r="I27" s="7">
        <f>Wautonomous</f>
        <v>4.1700000000000001E-2</v>
      </c>
      <c r="J27" s="4" t="s">
        <v>115</v>
      </c>
      <c r="K27" s="132">
        <f>VLOOKUP(L27,'3-ValueFunctions'!L22:M27,2,FALSE)</f>
        <v>0.75</v>
      </c>
      <c r="L27" s="127" t="s">
        <v>158</v>
      </c>
      <c r="M27" s="118" t="s">
        <v>56</v>
      </c>
      <c r="O27" t="s">
        <v>171</v>
      </c>
    </row>
    <row r="28" spans="2:20" x14ac:dyDescent="0.35">
      <c r="C28" s="173"/>
      <c r="D28" s="265"/>
      <c r="E28" s="144">
        <f>(K18*I18+K19*I19+K20*I20+K21*I21)*G18+(K22*I22+K23*I23+K24*I24+K25*I25+K26*I26+K27*I27+K28*I28+K29*I29+K30*I30+K31*I31+K32*I32+K33*I33)*G22+K34*I34*G34+K35*I35*G35+(K36*I36+K37*I37+K38*I38)*G36</f>
        <v>0.87635772992128924</v>
      </c>
      <c r="F28" s="205"/>
      <c r="G28" s="183"/>
      <c r="H28" s="184"/>
      <c r="I28" s="7">
        <f>Wurbanaccess</f>
        <v>7.3999999999999996E-2</v>
      </c>
      <c r="J28" s="4" t="s">
        <v>36</v>
      </c>
      <c r="K28" s="132">
        <f>VLOOKUP(L28,'3-ValueFunctions'!L28:M29,2,FALSE)</f>
        <v>1</v>
      </c>
      <c r="L28" s="127" t="s">
        <v>162</v>
      </c>
      <c r="M28" s="118" t="s">
        <v>54</v>
      </c>
      <c r="O28" t="s">
        <v>171</v>
      </c>
    </row>
    <row r="29" spans="2:20" x14ac:dyDescent="0.35">
      <c r="C29" s="173"/>
      <c r="D29" s="265"/>
      <c r="E29" s="103"/>
      <c r="F29" s="205"/>
      <c r="G29" s="183"/>
      <c r="H29" s="184"/>
      <c r="I29" s="7">
        <f>Wtorque</f>
        <v>0.1105</v>
      </c>
      <c r="J29" s="4" t="s">
        <v>39</v>
      </c>
      <c r="K29" s="132">
        <f t="shared" ref="K29:K30" si="1">IF(T29="Decreasing",IF(L29&lt;P29,1,IF(L29&gt;O29,0,(1-EXP(-R29*((ABS(L29-O29))/Q29)^S29))/(1-EXP(-R29*((ABS(P29-O29))/Q29)^S29)))),IF(T29="Increasing",IF(L29&gt;P29,1,IF(L29&lt;O29,0,(1-EXP(-R29*((ABS(L29-O29))/Q29)^S29))/(1-EXP(-R29*((ABS(P29-O29))/Q29)^S29))))))</f>
        <v>0.78534752790547102</v>
      </c>
      <c r="L29" s="127">
        <v>0.17599999999999999</v>
      </c>
      <c r="M29" s="118" t="s">
        <v>4</v>
      </c>
      <c r="O29">
        <f>'3-ValueFunctions'!C16</f>
        <v>0.1</v>
      </c>
      <c r="P29">
        <f>'3-ValueFunctions'!D16</f>
        <v>0.2</v>
      </c>
      <c r="Q29">
        <f>'3-ValueFunctions'!E16</f>
        <v>0.105</v>
      </c>
      <c r="R29">
        <f>'3-ValueFunctions'!F16</f>
        <v>1.8</v>
      </c>
      <c r="S29">
        <f>'3-ValueFunctions'!G16</f>
        <v>1.8</v>
      </c>
      <c r="T29" t="str">
        <f>'3-ValueFunctions'!H16</f>
        <v>Increasing</v>
      </c>
    </row>
    <row r="30" spans="2:20" x14ac:dyDescent="0.35">
      <c r="C30" s="173"/>
      <c r="D30" s="265"/>
      <c r="E30" s="103"/>
      <c r="F30" s="205"/>
      <c r="G30" s="183"/>
      <c r="H30" s="184"/>
      <c r="I30" s="7">
        <f>Wpower</f>
        <v>9.8100000000000007E-2</v>
      </c>
      <c r="J30" s="4" t="s">
        <v>40</v>
      </c>
      <c r="K30" s="132">
        <f t="shared" si="1"/>
        <v>0.25779664871511188</v>
      </c>
      <c r="L30" s="127">
        <v>0.107</v>
      </c>
      <c r="M30" s="118" t="s">
        <v>5</v>
      </c>
      <c r="O30">
        <f>'3-ValueFunctions'!C17</f>
        <v>0.06</v>
      </c>
      <c r="P30">
        <f>'3-ValueFunctions'!D17</f>
        <v>0.2</v>
      </c>
      <c r="Q30">
        <f>'3-ValueFunctions'!E17</f>
        <v>0.105</v>
      </c>
      <c r="R30">
        <f>'3-ValueFunctions'!F17</f>
        <v>1</v>
      </c>
      <c r="S30">
        <f>'3-ValueFunctions'!G17</f>
        <v>1.8</v>
      </c>
      <c r="T30" t="str">
        <f>'3-ValueFunctions'!H17</f>
        <v>Increasing</v>
      </c>
    </row>
    <row r="31" spans="2:20" x14ac:dyDescent="0.35">
      <c r="C31" s="173"/>
      <c r="D31" s="265"/>
      <c r="E31" s="103"/>
      <c r="F31" s="205"/>
      <c r="G31" s="183"/>
      <c r="H31" s="184"/>
      <c r="I31" s="7">
        <f>Wservstations</f>
        <v>0.10440000000000001</v>
      </c>
      <c r="J31" s="4" t="s">
        <v>37</v>
      </c>
      <c r="K31" s="132">
        <f>VLOOKUP(L31,'3-ValueFunctions'!L30:M32,2,FALSE)</f>
        <v>1</v>
      </c>
      <c r="L31" s="127" t="s">
        <v>163</v>
      </c>
      <c r="M31" s="118" t="s">
        <v>52</v>
      </c>
      <c r="O31" t="s">
        <v>171</v>
      </c>
    </row>
    <row r="32" spans="2:20" x14ac:dyDescent="0.35">
      <c r="C32" s="173"/>
      <c r="D32" s="265"/>
      <c r="E32" s="103"/>
      <c r="F32" s="205"/>
      <c r="G32" s="183"/>
      <c r="H32" s="184"/>
      <c r="I32" s="7">
        <f>Wrspeed</f>
        <v>0.1081</v>
      </c>
      <c r="J32" s="4" t="s">
        <v>38</v>
      </c>
      <c r="K32" s="132">
        <f t="shared" ref="K32:K33" si="2">IF(T32="Decreasing",IF(L32&lt;P32,1,IF(L32&gt;O32,0,(1-EXP(-R32*((ABS(L32-O32))/Q32)^S32))/(1-EXP(-R32*((ABS(P32-O32))/Q32)^S32)))),IF(T32="Increasing",IF(L32&gt;P32,1,IF(L32&lt;O32,0,(1-EXP(-R32*((ABS(L32-O32))/Q32)^S32))/(1-EXP(-R32*((ABS(P32-O32))/Q32)^S32))))))</f>
        <v>1</v>
      </c>
      <c r="L32" s="127">
        <v>10</v>
      </c>
      <c r="M32" s="118" t="s">
        <v>57</v>
      </c>
      <c r="O32">
        <f>'3-ValueFunctions'!C18</f>
        <v>30</v>
      </c>
      <c r="P32">
        <f>'3-ValueFunctions'!D18</f>
        <v>10</v>
      </c>
      <c r="Q32">
        <f>'3-ValueFunctions'!E18</f>
        <v>20</v>
      </c>
      <c r="R32">
        <f>'3-ValueFunctions'!F18</f>
        <v>0.8</v>
      </c>
      <c r="S32">
        <f>'3-ValueFunctions'!G18</f>
        <v>2.2000000000000002</v>
      </c>
      <c r="T32" t="str">
        <f>'3-ValueFunctions'!H18</f>
        <v>Decreasing</v>
      </c>
    </row>
    <row r="33" spans="3:20" x14ac:dyDescent="0.35">
      <c r="C33" s="173"/>
      <c r="D33" s="265"/>
      <c r="E33" s="103"/>
      <c r="F33" s="205"/>
      <c r="G33" s="183"/>
      <c r="H33" s="184"/>
      <c r="I33" s="7">
        <f>Wrange</f>
        <v>0.12529999999999999</v>
      </c>
      <c r="J33" s="4" t="s">
        <v>93</v>
      </c>
      <c r="K33" s="132">
        <f t="shared" si="2"/>
        <v>1</v>
      </c>
      <c r="L33" s="127">
        <v>828</v>
      </c>
      <c r="M33" s="118" t="s">
        <v>3</v>
      </c>
      <c r="O33">
        <f>'3-ValueFunctions'!C19</f>
        <v>400</v>
      </c>
      <c r="P33">
        <f>'3-ValueFunctions'!D19</f>
        <v>700</v>
      </c>
      <c r="Q33">
        <f>'3-ValueFunctions'!E19</f>
        <v>430</v>
      </c>
      <c r="R33">
        <f>'3-ValueFunctions'!F19</f>
        <v>0.01</v>
      </c>
      <c r="S33">
        <f>'3-ValueFunctions'!G19</f>
        <v>1</v>
      </c>
      <c r="T33" t="str">
        <f>'3-ValueFunctions'!H19</f>
        <v>Increasing</v>
      </c>
    </row>
    <row r="34" spans="3:20" x14ac:dyDescent="0.35">
      <c r="C34" s="173"/>
      <c r="D34" s="265"/>
      <c r="E34" s="103"/>
      <c r="F34" s="205"/>
      <c r="G34" s="49">
        <f>Wemployment</f>
        <v>0.1132</v>
      </c>
      <c r="H34" s="52" t="s">
        <v>14</v>
      </c>
      <c r="I34" s="8">
        <v>1</v>
      </c>
      <c r="J34" s="4" t="s">
        <v>44</v>
      </c>
      <c r="K34" s="132">
        <f>VLOOKUP(L34,'3-ValueFunctions'!L33:M35,2,FALSE)</f>
        <v>0.6</v>
      </c>
      <c r="L34" s="127" t="s">
        <v>121</v>
      </c>
      <c r="M34" s="118" t="s">
        <v>63</v>
      </c>
      <c r="O34" t="s">
        <v>171</v>
      </c>
    </row>
    <row r="35" spans="3:20" x14ac:dyDescent="0.35">
      <c r="C35" s="173"/>
      <c r="D35" s="265"/>
      <c r="E35" s="103"/>
      <c r="F35" s="205"/>
      <c r="G35" s="49">
        <f>Wdesign</f>
        <v>0.2296</v>
      </c>
      <c r="H35" s="52" t="s">
        <v>15</v>
      </c>
      <c r="I35" s="8">
        <v>1</v>
      </c>
      <c r="J35" s="4" t="s">
        <v>45</v>
      </c>
      <c r="K35" s="132">
        <v>1</v>
      </c>
      <c r="L35" s="256" t="s">
        <v>195</v>
      </c>
      <c r="M35" s="257"/>
      <c r="O35" t="s">
        <v>173</v>
      </c>
    </row>
    <row r="36" spans="3:20" x14ac:dyDescent="0.35">
      <c r="C36" s="173"/>
      <c r="D36" s="265"/>
      <c r="E36" s="103"/>
      <c r="F36" s="205"/>
      <c r="G36" s="183">
        <f>Wstatus</f>
        <v>6.3500000000000001E-2</v>
      </c>
      <c r="H36" s="186" t="s">
        <v>16</v>
      </c>
      <c r="I36" s="9">
        <f>Wbrand</f>
        <v>0.47189999999999999</v>
      </c>
      <c r="J36" s="4" t="s">
        <v>41</v>
      </c>
      <c r="K36" s="132">
        <f>VLOOKUP(L36,'3-ValueFunctions'!L36:M38,2,FALSE)</f>
        <v>1</v>
      </c>
      <c r="L36" s="127" t="s">
        <v>125</v>
      </c>
      <c r="M36" s="118" t="s">
        <v>65</v>
      </c>
      <c r="O36" t="s">
        <v>171</v>
      </c>
    </row>
    <row r="37" spans="3:20" x14ac:dyDescent="0.35">
      <c r="C37" s="173"/>
      <c r="D37" s="265"/>
      <c r="E37" s="103"/>
      <c r="F37" s="205"/>
      <c r="G37" s="183" t="e">
        <f>(#REF!+#REF!*4+#REF!+#REF!+#REF!+#REF!)/9</f>
        <v>#REF!</v>
      </c>
      <c r="H37" s="186"/>
      <c r="I37" s="9">
        <f>Wsize</f>
        <v>0.33189999999999997</v>
      </c>
      <c r="J37" s="4" t="s">
        <v>42</v>
      </c>
      <c r="K37" s="132">
        <f>VLOOKUP(L37,'3-ValueFunctions'!L39:M43,2,FALSE)</f>
        <v>0.2</v>
      </c>
      <c r="L37" s="127" t="s">
        <v>129</v>
      </c>
      <c r="M37" s="118" t="s">
        <v>66</v>
      </c>
      <c r="O37" t="s">
        <v>171</v>
      </c>
    </row>
    <row r="38" spans="3:20" ht="15" thickBot="1" x14ac:dyDescent="0.4">
      <c r="C38" s="173"/>
      <c r="D38" s="266"/>
      <c r="E38" s="108"/>
      <c r="F38" s="206"/>
      <c r="G38" s="185" t="e">
        <f>(#REF!+#REF!*4+#REF!+#REF!+#REF!+#REF!)/9</f>
        <v>#REF!</v>
      </c>
      <c r="H38" s="187"/>
      <c r="I38" s="31">
        <f>Wprice</f>
        <v>0.19620000000000001</v>
      </c>
      <c r="J38" s="32" t="s">
        <v>43</v>
      </c>
      <c r="K38" s="137">
        <f t="shared" ref="K38:K41" si="3">IF(T38="Decreasing",IF(L38&lt;P38,1,IF(L38&gt;O38,0,(1-EXP(-R38*((ABS(L38-O38))/Q38)^S38))/(1-EXP(-R38*((ABS(P38-O38))/Q38)^S38)))),IF(T38="Increasing",IF(L38&gt;P38,1,IF(L38&lt;O38,0,(1-EXP(-R38*((ABS(L38-O38))/Q38)^S38))/(1-EXP(-R38*((ABS(P38-O38))/Q38)^S38))))))</f>
        <v>0.27551073689584887</v>
      </c>
      <c r="L38" s="128">
        <v>43200</v>
      </c>
      <c r="M38" s="119" t="s">
        <v>98</v>
      </c>
      <c r="O38">
        <f>'3-ValueFunctions'!C20</f>
        <v>15000</v>
      </c>
      <c r="P38">
        <f>'3-ValueFunctions'!D20</f>
        <v>150000</v>
      </c>
      <c r="Q38">
        <f>'3-ValueFunctions'!E20</f>
        <v>68500</v>
      </c>
      <c r="R38">
        <f>'3-ValueFunctions'!F20</f>
        <v>1.3</v>
      </c>
      <c r="S38">
        <f>'3-ValueFunctions'!G20</f>
        <v>1.6</v>
      </c>
      <c r="T38" t="str">
        <f>'3-ValueFunctions'!H20</f>
        <v>Increasing</v>
      </c>
    </row>
    <row r="39" spans="3:20" ht="15" customHeight="1" x14ac:dyDescent="0.35">
      <c r="C39" s="173"/>
      <c r="D39" s="249">
        <f>Wenvironm</f>
        <v>0.34</v>
      </c>
      <c r="E39" s="112" t="s">
        <v>142</v>
      </c>
      <c r="F39" s="191" t="s">
        <v>139</v>
      </c>
      <c r="G39" s="252">
        <v>1</v>
      </c>
      <c r="H39" s="253" t="s">
        <v>19</v>
      </c>
      <c r="I39" s="93">
        <f>WgreenSI1</f>
        <v>0.43859999999999999</v>
      </c>
      <c r="J39" s="94" t="s">
        <v>95</v>
      </c>
      <c r="K39" s="138">
        <f t="shared" si="3"/>
        <v>0.75929543083174267</v>
      </c>
      <c r="L39" s="129">
        <v>7.5</v>
      </c>
      <c r="M39" s="120" t="s">
        <v>49</v>
      </c>
      <c r="O39">
        <f>'3-ValueFunctions'!C21</f>
        <v>0</v>
      </c>
      <c r="P39">
        <f>'3-ValueFunctions'!D21</f>
        <v>10</v>
      </c>
      <c r="Q39">
        <f>'3-ValueFunctions'!E21</f>
        <v>1</v>
      </c>
      <c r="R39">
        <f>'3-ValueFunctions'!F21</f>
        <v>0.01</v>
      </c>
      <c r="S39">
        <f>'3-ValueFunctions'!G21</f>
        <v>1</v>
      </c>
      <c r="T39" t="str">
        <f>'3-ValueFunctions'!H21</f>
        <v>Increasing</v>
      </c>
    </row>
    <row r="40" spans="3:20" ht="15" customHeight="1" x14ac:dyDescent="0.35">
      <c r="C40" s="173"/>
      <c r="D40" s="250"/>
      <c r="E40" s="145">
        <f>(K39*I39+K40*I40+K41*I41)*G39</f>
        <v>0.55588819403508094</v>
      </c>
      <c r="F40" s="192"/>
      <c r="G40" s="195"/>
      <c r="H40" s="198"/>
      <c r="I40" s="47">
        <f>WgreenSI2</f>
        <v>0.26400000000000001</v>
      </c>
      <c r="J40" s="10" t="s">
        <v>96</v>
      </c>
      <c r="K40" s="139">
        <f t="shared" si="3"/>
        <v>0.48246486656885912</v>
      </c>
      <c r="L40" s="130">
        <v>4.7</v>
      </c>
      <c r="M40" s="121" t="s">
        <v>49</v>
      </c>
      <c r="O40">
        <f>'3-ValueFunctions'!C22</f>
        <v>0</v>
      </c>
      <c r="P40">
        <f>'3-ValueFunctions'!D22</f>
        <v>10</v>
      </c>
      <c r="Q40">
        <f>'3-ValueFunctions'!E22</f>
        <v>1</v>
      </c>
      <c r="R40">
        <f>'3-ValueFunctions'!F22</f>
        <v>0.01</v>
      </c>
      <c r="S40">
        <f>'3-ValueFunctions'!G22</f>
        <v>1</v>
      </c>
      <c r="T40" t="str">
        <f>'3-ValueFunctions'!H22</f>
        <v>Increasing</v>
      </c>
    </row>
    <row r="41" spans="3:20" ht="15" thickBot="1" x14ac:dyDescent="0.4">
      <c r="C41" s="174"/>
      <c r="D41" s="251"/>
      <c r="E41" s="109"/>
      <c r="F41" s="193"/>
      <c r="G41" s="196"/>
      <c r="H41" s="199"/>
      <c r="I41" s="48">
        <f>WgreenSI3</f>
        <v>0.29770000000000002</v>
      </c>
      <c r="J41" s="21" t="s">
        <v>97</v>
      </c>
      <c r="K41" s="140">
        <f t="shared" si="3"/>
        <v>0.32076081054114802</v>
      </c>
      <c r="L41" s="131">
        <v>3.1</v>
      </c>
      <c r="M41" s="122" t="s">
        <v>49</v>
      </c>
      <c r="O41">
        <f>'3-ValueFunctions'!C23</f>
        <v>0</v>
      </c>
      <c r="P41">
        <f>'3-ValueFunctions'!D23</f>
        <v>10</v>
      </c>
      <c r="Q41">
        <f>'3-ValueFunctions'!E23</f>
        <v>1</v>
      </c>
      <c r="R41">
        <f>'3-ValueFunctions'!F23</f>
        <v>0.01</v>
      </c>
      <c r="S41">
        <f>'3-ValueFunctions'!G23</f>
        <v>1</v>
      </c>
      <c r="T41" t="str">
        <f>'3-ValueFunctions'!H23</f>
        <v>Increasing</v>
      </c>
    </row>
    <row r="42" spans="3:20" x14ac:dyDescent="0.35">
      <c r="D42" s="95"/>
      <c r="E42" s="95"/>
      <c r="G42" s="96"/>
      <c r="I42" s="73"/>
    </row>
    <row r="43" spans="3:20" x14ac:dyDescent="0.35">
      <c r="G43" s="97"/>
      <c r="I43" s="98"/>
    </row>
    <row r="44" spans="3:20" x14ac:dyDescent="0.35">
      <c r="G44" s="73"/>
      <c r="I44" s="73"/>
    </row>
    <row r="45" spans="3:20" x14ac:dyDescent="0.35">
      <c r="I45" s="99"/>
    </row>
    <row r="46" spans="3:20" x14ac:dyDescent="0.35">
      <c r="I46" s="100"/>
    </row>
    <row r="47" spans="3:20" x14ac:dyDescent="0.35">
      <c r="I47" s="73"/>
    </row>
    <row r="48" spans="3:20" x14ac:dyDescent="0.35">
      <c r="I48" s="73"/>
    </row>
    <row r="49" spans="9:9" x14ac:dyDescent="0.35">
      <c r="I49" s="101"/>
    </row>
    <row r="50" spans="9:9" x14ac:dyDescent="0.35">
      <c r="I50" s="73"/>
    </row>
  </sheetData>
  <mergeCells count="22">
    <mergeCell ref="G22:G33"/>
    <mergeCell ref="H22:H33"/>
    <mergeCell ref="L26:M26"/>
    <mergeCell ref="L35:M35"/>
    <mergeCell ref="C11:D11"/>
    <mergeCell ref="E11:M11"/>
    <mergeCell ref="C12:C41"/>
    <mergeCell ref="D13:D17"/>
    <mergeCell ref="F13:F17"/>
    <mergeCell ref="G14:G16"/>
    <mergeCell ref="H14:H16"/>
    <mergeCell ref="D18:D38"/>
    <mergeCell ref="F18:F38"/>
    <mergeCell ref="G18:G21"/>
    <mergeCell ref="H18:H21"/>
    <mergeCell ref="E12:F12"/>
    <mergeCell ref="G36:G38"/>
    <mergeCell ref="H36:H38"/>
    <mergeCell ref="D39:D41"/>
    <mergeCell ref="F39:F41"/>
    <mergeCell ref="G39:G41"/>
    <mergeCell ref="H39:H41"/>
  </mergeCells>
  <pageMargins left="0.7" right="0.7" top="0.75" bottom="0.75" header="0.3" footer="0.3"/>
  <pageSetup paperSize="9" orientation="portrait" horizontalDpi="1200" verticalDpi="1200" r:id="rId1"/>
  <ignoredErrors>
    <ignoredError sqref="K31" formula="1"/>
  </ignoredErrors>
  <extLst>
    <ext xmlns:x14="http://schemas.microsoft.com/office/spreadsheetml/2009/9/main" uri="{CCE6A557-97BC-4b89-ADB6-D9C93CAAB3DF}">
      <x14:dataValidations xmlns:xm="http://schemas.microsoft.com/office/excel/2006/main" disablePrompts="1" count="10">
        <x14:dataValidation type="list" allowBlank="1" showInputMessage="1" showErrorMessage="1" xr:uid="{00000000-0002-0000-0400-000000000000}">
          <x14:formula1>
            <xm:f>'3-ValueFunctions'!$L$7:$L$12</xm:f>
          </x14:formula1>
          <xm:sqref>L22</xm:sqref>
        </x14:dataValidation>
        <x14:dataValidation type="list" allowBlank="1" showInputMessage="1" showErrorMessage="1" xr:uid="{00000000-0002-0000-0400-000001000000}">
          <x14:formula1>
            <xm:f>'3-ValueFunctions'!$L$13:$L$14</xm:f>
          </x14:formula1>
          <xm:sqref>L23</xm:sqref>
        </x14:dataValidation>
        <x14:dataValidation type="list" allowBlank="1" showInputMessage="1" showErrorMessage="1" xr:uid="{00000000-0002-0000-0400-000002000000}">
          <x14:formula1>
            <xm:f>'3-ValueFunctions'!$L$15:$L$18</xm:f>
          </x14:formula1>
          <xm:sqref>L24</xm:sqref>
        </x14:dataValidation>
        <x14:dataValidation type="list" allowBlank="1" showInputMessage="1" showErrorMessage="1" xr:uid="{00000000-0002-0000-0400-000003000000}">
          <x14:formula1>
            <xm:f>'3-ValueFunctions'!$L$19:$L$21</xm:f>
          </x14:formula1>
          <xm:sqref>L25</xm:sqref>
        </x14:dataValidation>
        <x14:dataValidation type="list" allowBlank="1" showInputMessage="1" showErrorMessage="1" xr:uid="{00000000-0002-0000-0400-000004000000}">
          <x14:formula1>
            <xm:f>'3-ValueFunctions'!$L$22:$L$27</xm:f>
          </x14:formula1>
          <xm:sqref>L27</xm:sqref>
        </x14:dataValidation>
        <x14:dataValidation type="list" allowBlank="1" showInputMessage="1" showErrorMessage="1" xr:uid="{00000000-0002-0000-0400-000005000000}">
          <x14:formula1>
            <xm:f>'3-ValueFunctions'!$L$28:$L$29</xm:f>
          </x14:formula1>
          <xm:sqref>L28</xm:sqref>
        </x14:dataValidation>
        <x14:dataValidation type="list" allowBlank="1" showInputMessage="1" showErrorMessage="1" xr:uid="{00000000-0002-0000-0400-000006000000}">
          <x14:formula1>
            <xm:f>'3-ValueFunctions'!$L$30:$L$32</xm:f>
          </x14:formula1>
          <xm:sqref>L31</xm:sqref>
        </x14:dataValidation>
        <x14:dataValidation type="list" allowBlank="1" showInputMessage="1" showErrorMessage="1" xr:uid="{00000000-0002-0000-0400-000007000000}">
          <x14:formula1>
            <xm:f>'3-ValueFunctions'!$L$33:$L$35</xm:f>
          </x14:formula1>
          <xm:sqref>L34</xm:sqref>
        </x14:dataValidation>
        <x14:dataValidation type="list" allowBlank="1" showInputMessage="1" showErrorMessage="1" xr:uid="{00000000-0002-0000-0400-000008000000}">
          <x14:formula1>
            <xm:f>'3-ValueFunctions'!$L$36:$L$38</xm:f>
          </x14:formula1>
          <xm:sqref>L36</xm:sqref>
        </x14:dataValidation>
        <x14:dataValidation type="list" allowBlank="1" showInputMessage="1" showErrorMessage="1" xr:uid="{00000000-0002-0000-0400-000009000000}">
          <x14:formula1>
            <xm:f>'3-ValueFunctions'!$L$39:$L$43</xm:f>
          </x14:formula1>
          <xm:sqref>L37</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T49"/>
  <sheetViews>
    <sheetView showGridLines="0" showRowColHeaders="0" zoomScale="110" zoomScaleNormal="110" workbookViewId="0"/>
  </sheetViews>
  <sheetFormatPr baseColWidth="10" defaultRowHeight="14.5" x14ac:dyDescent="0.35"/>
  <cols>
    <col min="1" max="1" width="2.453125" customWidth="1"/>
    <col min="2" max="2" width="8.54296875" customWidth="1"/>
    <col min="3" max="3" width="4.7265625" customWidth="1"/>
    <col min="4" max="5" width="8.453125" customWidth="1"/>
    <col min="6" max="6" width="11.81640625" customWidth="1"/>
    <col min="7" max="7" width="8.453125" customWidth="1"/>
    <col min="8" max="8" width="20.54296875" style="1" bestFit="1" customWidth="1"/>
    <col min="9" max="9" width="10" customWidth="1"/>
    <col min="10" max="10" width="58.54296875" customWidth="1"/>
    <col min="11" max="11" width="8.453125" customWidth="1"/>
    <col min="12" max="12" width="24.7265625" customWidth="1"/>
    <col min="13" max="13" width="43.1796875" customWidth="1"/>
    <col min="14" max="14" width="2.1796875" customWidth="1"/>
    <col min="15" max="19" width="7.453125" hidden="1" customWidth="1"/>
    <col min="20" max="20" width="0" hidden="1" customWidth="1"/>
  </cols>
  <sheetData>
    <row r="2" spans="1:20" ht="18.75" customHeight="1" x14ac:dyDescent="0.35">
      <c r="C2" s="45" t="s">
        <v>174</v>
      </c>
    </row>
    <row r="3" spans="1:20" ht="18.75" customHeight="1" x14ac:dyDescent="0.35">
      <c r="C3" s="45" t="s">
        <v>208</v>
      </c>
      <c r="J3" s="73"/>
      <c r="K3" s="73"/>
      <c r="L3" s="73"/>
      <c r="M3" s="73"/>
    </row>
    <row r="4" spans="1:20" ht="18.75" customHeight="1" x14ac:dyDescent="0.35">
      <c r="C4" s="45" t="s">
        <v>212</v>
      </c>
      <c r="J4" s="73"/>
      <c r="K4" s="73"/>
      <c r="L4" s="73"/>
      <c r="M4" s="73"/>
    </row>
    <row r="5" spans="1:20" ht="18.75" customHeight="1" x14ac:dyDescent="0.35">
      <c r="C5" s="45" t="s">
        <v>213</v>
      </c>
      <c r="J5" s="73"/>
      <c r="K5" s="73"/>
      <c r="L5" s="73"/>
      <c r="M5" s="73"/>
    </row>
    <row r="6" spans="1:20" ht="18.75" customHeight="1" x14ac:dyDescent="0.35">
      <c r="C6" s="45" t="s">
        <v>214</v>
      </c>
      <c r="J6" s="73"/>
      <c r="K6" s="73"/>
      <c r="L6" s="73"/>
      <c r="M6" s="73"/>
    </row>
    <row r="7" spans="1:20" ht="18.75" customHeight="1" x14ac:dyDescent="0.35">
      <c r="C7" s="45" t="s">
        <v>207</v>
      </c>
      <c r="J7" s="73"/>
      <c r="K7" s="73"/>
      <c r="L7" s="73"/>
      <c r="M7" s="73"/>
    </row>
    <row r="8" spans="1:20" ht="18.75" customHeight="1" x14ac:dyDescent="0.35">
      <c r="C8" s="45" t="s">
        <v>201</v>
      </c>
      <c r="J8" s="73"/>
      <c r="K8" s="73"/>
      <c r="L8" s="73"/>
      <c r="M8" s="73"/>
    </row>
    <row r="9" spans="1:20" ht="18.75" customHeight="1" x14ac:dyDescent="0.35">
      <c r="C9" s="45" t="s">
        <v>200</v>
      </c>
    </row>
    <row r="10" spans="1:20" ht="18.75" customHeight="1" thickBot="1" x14ac:dyDescent="0.4">
      <c r="C10" s="258" t="str">
        <f>'4-Model-Alt1-GreenNCAP'!C11:D11</f>
        <v xml:space="preserve">Vehicle: </v>
      </c>
      <c r="D10" s="258"/>
      <c r="E10" s="259" t="str">
        <f>'4-Model-Alt1-GreenNCAP'!E11:M11</f>
        <v>BMW 220i Active Tourer (mild HEV)</v>
      </c>
      <c r="F10" s="259"/>
      <c r="G10" s="259"/>
      <c r="H10" s="259"/>
      <c r="I10" s="259"/>
      <c r="J10" s="259"/>
      <c r="K10" s="259"/>
      <c r="L10" s="259"/>
      <c r="M10" s="259"/>
    </row>
    <row r="11" spans="1:20" ht="18.75" customHeight="1" thickBot="1" x14ac:dyDescent="0.5">
      <c r="C11" s="172" t="s">
        <v>6</v>
      </c>
      <c r="D11" s="104" t="s">
        <v>68</v>
      </c>
      <c r="E11" s="267" t="s">
        <v>8</v>
      </c>
      <c r="F11" s="268"/>
      <c r="G11" s="11" t="s">
        <v>69</v>
      </c>
      <c r="H11" s="12" t="s">
        <v>9</v>
      </c>
      <c r="I11" s="11" t="s">
        <v>70</v>
      </c>
      <c r="J11" s="11" t="s">
        <v>10</v>
      </c>
      <c r="K11" s="11" t="s">
        <v>144</v>
      </c>
      <c r="L11" s="11" t="s">
        <v>143</v>
      </c>
      <c r="M11" s="113" t="s">
        <v>11</v>
      </c>
      <c r="O11" s="141" t="s">
        <v>166</v>
      </c>
      <c r="P11" s="141" t="s">
        <v>167</v>
      </c>
      <c r="Q11" s="141" t="s">
        <v>168</v>
      </c>
      <c r="R11" s="141" t="s">
        <v>169</v>
      </c>
      <c r="S11" s="141" t="s">
        <v>170</v>
      </c>
      <c r="T11" t="s">
        <v>76</v>
      </c>
    </row>
    <row r="12" spans="1:20" ht="15" customHeight="1" x14ac:dyDescent="0.35">
      <c r="C12" s="173"/>
      <c r="D12" s="261">
        <f>Weconom</f>
        <v>0.32890000000000003</v>
      </c>
      <c r="E12" s="105"/>
      <c r="F12" s="178" t="s">
        <v>137</v>
      </c>
      <c r="G12" s="15">
        <f>Wacqcost</f>
        <v>0.37519999999999998</v>
      </c>
      <c r="H12" s="50" t="s">
        <v>12</v>
      </c>
      <c r="I12" s="16">
        <v>1</v>
      </c>
      <c r="J12" s="17" t="s">
        <v>12</v>
      </c>
      <c r="K12" s="133">
        <f>'4-Model-Alt1-GreenNCAP'!K13</f>
        <v>0</v>
      </c>
      <c r="L12" s="123">
        <v>24.48</v>
      </c>
      <c r="M12" s="114" t="s">
        <v>46</v>
      </c>
      <c r="O12">
        <f>'3-ValueFunctions'!C7</f>
        <v>24</v>
      </c>
      <c r="P12">
        <f>'3-ValueFunctions'!D7</f>
        <v>6</v>
      </c>
      <c r="Q12">
        <f>'3-ValueFunctions'!E7</f>
        <v>11</v>
      </c>
      <c r="R12">
        <f>'3-ValueFunctions'!F7</f>
        <v>0.7</v>
      </c>
      <c r="S12">
        <f>'3-ValueFunctions'!G7</f>
        <v>3.5</v>
      </c>
      <c r="T12" t="str">
        <f>'3-ValueFunctions'!H7</f>
        <v>Decreasing</v>
      </c>
    </row>
    <row r="13" spans="1:20" ht="15" customHeight="1" x14ac:dyDescent="0.35">
      <c r="A13" s="2"/>
      <c r="B13" s="2"/>
      <c r="C13" s="173"/>
      <c r="D13" s="262"/>
      <c r="E13" s="110" t="s">
        <v>140</v>
      </c>
      <c r="F13" s="179"/>
      <c r="G13" s="181">
        <f>Wusecost</f>
        <v>0.49149999999999999</v>
      </c>
      <c r="H13" s="182" t="s">
        <v>17</v>
      </c>
      <c r="I13" s="5">
        <f>Wmaintcosts</f>
        <v>0.3332</v>
      </c>
      <c r="J13" s="3" t="s">
        <v>23</v>
      </c>
      <c r="K13" s="134">
        <f>'4-Model-Alt1-GreenNCAP'!K14</f>
        <v>9.2025490614246058E-2</v>
      </c>
      <c r="L13" s="124">
        <v>765</v>
      </c>
      <c r="M13" s="115" t="s">
        <v>47</v>
      </c>
      <c r="O13">
        <f>'3-ValueFunctions'!C8</f>
        <v>1000</v>
      </c>
      <c r="P13">
        <f>'3-ValueFunctions'!D8</f>
        <v>300</v>
      </c>
      <c r="Q13">
        <f>'3-ValueFunctions'!E8</f>
        <v>480</v>
      </c>
      <c r="R13">
        <f>'3-ValueFunctions'!F8</f>
        <v>0.9</v>
      </c>
      <c r="S13">
        <f>'3-ValueFunctions'!G8</f>
        <v>3.2</v>
      </c>
      <c r="T13" t="str">
        <f>'3-ValueFunctions'!H8</f>
        <v>Decreasing</v>
      </c>
    </row>
    <row r="14" spans="1:20" x14ac:dyDescent="0.35">
      <c r="C14" s="173"/>
      <c r="D14" s="262"/>
      <c r="E14" s="143">
        <f>K12*I12*G12+(K13*I13+K14*I14+K15*I15)*G13+K16*I16*G16</f>
        <v>0.2070685140333251</v>
      </c>
      <c r="F14" s="179"/>
      <c r="G14" s="181"/>
      <c r="H14" s="182"/>
      <c r="I14" s="5">
        <f>Wfixedcost</f>
        <v>0.11840000000000001</v>
      </c>
      <c r="J14" s="3" t="s">
        <v>25</v>
      </c>
      <c r="K14" s="134">
        <f>'4-Model-Alt1-GreenNCAP'!K15</f>
        <v>0.45081156337589751</v>
      </c>
      <c r="L14" s="124">
        <v>470</v>
      </c>
      <c r="M14" s="115" t="s">
        <v>47</v>
      </c>
      <c r="O14">
        <f>'3-ValueFunctions'!C9</f>
        <v>650</v>
      </c>
      <c r="P14">
        <f>'3-ValueFunctions'!D9</f>
        <v>250</v>
      </c>
      <c r="Q14">
        <f>'3-ValueFunctions'!E9</f>
        <v>610</v>
      </c>
      <c r="R14">
        <f>'3-ValueFunctions'!F9</f>
        <v>0.01</v>
      </c>
      <c r="S14">
        <f>'3-ValueFunctions'!G9</f>
        <v>1</v>
      </c>
      <c r="T14" t="str">
        <f>'3-ValueFunctions'!H9</f>
        <v>Decreasing</v>
      </c>
    </row>
    <row r="15" spans="1:20" x14ac:dyDescent="0.35">
      <c r="C15" s="173"/>
      <c r="D15" s="262"/>
      <c r="E15" s="102"/>
      <c r="F15" s="179"/>
      <c r="G15" s="181"/>
      <c r="H15" s="182"/>
      <c r="I15" s="5">
        <f>Wfuel</f>
        <v>0.5484</v>
      </c>
      <c r="J15" s="3" t="s">
        <v>24</v>
      </c>
      <c r="K15" s="134">
        <f>'4-Model-Alt1-GreenNCAP'!K16</f>
        <v>0.12044046417484454</v>
      </c>
      <c r="L15" s="124">
        <v>0.108</v>
      </c>
      <c r="M15" s="115" t="s">
        <v>1</v>
      </c>
      <c r="O15">
        <f>'3-ValueFunctions'!C10</f>
        <v>0.12</v>
      </c>
      <c r="P15">
        <f>'3-ValueFunctions'!D10</f>
        <v>0.02</v>
      </c>
      <c r="Q15">
        <f>'3-ValueFunctions'!E10</f>
        <v>0.12</v>
      </c>
      <c r="R15">
        <f>'3-ValueFunctions'!F10</f>
        <v>0.01</v>
      </c>
      <c r="S15">
        <f>'3-ValueFunctions'!G10</f>
        <v>1</v>
      </c>
      <c r="T15" t="str">
        <f>'3-ValueFunctions'!H10</f>
        <v>Decreasing</v>
      </c>
    </row>
    <row r="16" spans="1:20" ht="15.75" customHeight="1" thickBot="1" x14ac:dyDescent="0.4">
      <c r="C16" s="173"/>
      <c r="D16" s="263"/>
      <c r="E16" s="106"/>
      <c r="F16" s="180"/>
      <c r="G16" s="23">
        <f>Wresidvalue</f>
        <v>0.1333</v>
      </c>
      <c r="H16" s="51" t="s">
        <v>13</v>
      </c>
      <c r="I16" s="24">
        <v>1</v>
      </c>
      <c r="J16" s="25" t="s">
        <v>26</v>
      </c>
      <c r="K16" s="135">
        <f>'4-Model-Alt1-GreenNCAP'!K17</f>
        <v>1</v>
      </c>
      <c r="L16" s="125">
        <v>10</v>
      </c>
      <c r="M16" s="116" t="s">
        <v>2</v>
      </c>
      <c r="O16">
        <f>'3-ValueFunctions'!C11</f>
        <v>30</v>
      </c>
      <c r="P16">
        <f>'3-ValueFunctions'!D11</f>
        <v>10</v>
      </c>
      <c r="Q16">
        <f>'3-ValueFunctions'!E11</f>
        <v>11</v>
      </c>
      <c r="R16">
        <f>'3-ValueFunctions'!F11</f>
        <v>0.8</v>
      </c>
      <c r="S16">
        <f>'3-ValueFunctions'!G11</f>
        <v>2.5</v>
      </c>
      <c r="T16" t="str">
        <f>'3-ValueFunctions'!H11</f>
        <v>Decreasing</v>
      </c>
    </row>
    <row r="17" spans="2:20" ht="15" customHeight="1" x14ac:dyDescent="0.35">
      <c r="C17" s="173"/>
      <c r="D17" s="264">
        <f>Wsocial</f>
        <v>0.33110000000000001</v>
      </c>
      <c r="E17" s="107"/>
      <c r="F17" s="204" t="s">
        <v>138</v>
      </c>
      <c r="G17" s="207">
        <f>Weuroncap</f>
        <v>0.31159999999999999</v>
      </c>
      <c r="H17" s="208" t="s">
        <v>20</v>
      </c>
      <c r="I17" s="29">
        <f>Wncapadults</f>
        <v>0.27310000000000001</v>
      </c>
      <c r="J17" s="30" t="s">
        <v>27</v>
      </c>
      <c r="K17" s="136">
        <f>'4-Model-Alt1-GreenNCAP'!K18</f>
        <v>0.98906498072985638</v>
      </c>
      <c r="L17" s="126">
        <v>88</v>
      </c>
      <c r="M17" s="117" t="s">
        <v>48</v>
      </c>
      <c r="O17">
        <f>'3-ValueFunctions'!C12</f>
        <v>20</v>
      </c>
      <c r="P17">
        <f>'3-ValueFunctions'!D12</f>
        <v>100</v>
      </c>
      <c r="Q17">
        <f>'3-ValueFunctions'!E12</f>
        <v>50</v>
      </c>
      <c r="R17">
        <f>'3-ValueFunctions'!F12</f>
        <v>1</v>
      </c>
      <c r="S17">
        <f>'3-ValueFunctions'!G12</f>
        <v>4.9000000000000004</v>
      </c>
      <c r="T17" t="str">
        <f>'3-ValueFunctions'!H12</f>
        <v>Increasing</v>
      </c>
    </row>
    <row r="18" spans="2:20" ht="15" customHeight="1" x14ac:dyDescent="0.35">
      <c r="C18" s="173"/>
      <c r="D18" s="265"/>
      <c r="E18" s="103"/>
      <c r="F18" s="205"/>
      <c r="G18" s="183"/>
      <c r="H18" s="184"/>
      <c r="I18" s="6">
        <f>Wncapchild</f>
        <v>0.31519999999999998</v>
      </c>
      <c r="J18" s="4" t="s">
        <v>28</v>
      </c>
      <c r="K18" s="132">
        <f>'4-Model-Alt1-GreenNCAP'!K19</f>
        <v>0.92935513799285097</v>
      </c>
      <c r="L18" s="127">
        <v>81</v>
      </c>
      <c r="M18" s="118" t="s">
        <v>48</v>
      </c>
      <c r="O18">
        <f>'3-ValueFunctions'!C13</f>
        <v>20</v>
      </c>
      <c r="P18">
        <f>'3-ValueFunctions'!D13</f>
        <v>100</v>
      </c>
      <c r="Q18">
        <f>'3-ValueFunctions'!E13</f>
        <v>50</v>
      </c>
      <c r="R18">
        <f>'3-ValueFunctions'!F13</f>
        <v>1</v>
      </c>
      <c r="S18">
        <f>'3-ValueFunctions'!G13</f>
        <v>4.9000000000000004</v>
      </c>
      <c r="T18" t="str">
        <f>'3-ValueFunctions'!H13</f>
        <v>Increasing</v>
      </c>
    </row>
    <row r="19" spans="2:20" x14ac:dyDescent="0.35">
      <c r="C19" s="173"/>
      <c r="D19" s="265"/>
      <c r="E19" s="103"/>
      <c r="F19" s="205"/>
      <c r="G19" s="183"/>
      <c r="H19" s="184"/>
      <c r="I19" s="6">
        <f>Wncaproadusers</f>
        <v>0.2661</v>
      </c>
      <c r="J19" s="4" t="s">
        <v>29</v>
      </c>
      <c r="K19" s="132">
        <f>'4-Model-Alt1-GreenNCAP'!K20</f>
        <v>0.99134265065594473</v>
      </c>
      <c r="L19" s="127">
        <v>79</v>
      </c>
      <c r="M19" s="118" t="s">
        <v>48</v>
      </c>
      <c r="O19">
        <f>'3-ValueFunctions'!C14</f>
        <v>10</v>
      </c>
      <c r="P19">
        <f>'3-ValueFunctions'!D14</f>
        <v>100</v>
      </c>
      <c r="Q19">
        <f>'3-ValueFunctions'!E14</f>
        <v>50</v>
      </c>
      <c r="R19">
        <f>'3-ValueFunctions'!F14</f>
        <v>0.98</v>
      </c>
      <c r="S19">
        <f>'3-ValueFunctions'!G14</f>
        <v>4.9000000000000004</v>
      </c>
      <c r="T19" t="str">
        <f>'3-ValueFunctions'!H14</f>
        <v>Increasing</v>
      </c>
    </row>
    <row r="20" spans="2:20" x14ac:dyDescent="0.35">
      <c r="C20" s="173"/>
      <c r="D20" s="265"/>
      <c r="E20" s="103"/>
      <c r="F20" s="205"/>
      <c r="G20" s="183"/>
      <c r="H20" s="184"/>
      <c r="I20" s="6">
        <f>Wncapaids</f>
        <v>0.14560000000000001</v>
      </c>
      <c r="J20" s="4" t="s">
        <v>30</v>
      </c>
      <c r="K20" s="132">
        <f>'4-Model-Alt1-GreenNCAP'!K21</f>
        <v>0.99998437928879336</v>
      </c>
      <c r="L20" s="127">
        <v>92</v>
      </c>
      <c r="M20" s="118" t="s">
        <v>48</v>
      </c>
      <c r="O20">
        <f>'3-ValueFunctions'!C15</f>
        <v>10</v>
      </c>
      <c r="P20">
        <f>'3-ValueFunctions'!D15</f>
        <v>100</v>
      </c>
      <c r="Q20">
        <f>'3-ValueFunctions'!E15</f>
        <v>50</v>
      </c>
      <c r="R20">
        <f>'3-ValueFunctions'!F15</f>
        <v>0.98</v>
      </c>
      <c r="S20">
        <f>'3-ValueFunctions'!G15</f>
        <v>4.9000000000000004</v>
      </c>
      <c r="T20" t="str">
        <f>'3-ValueFunctions'!H15</f>
        <v>Increasing</v>
      </c>
    </row>
    <row r="21" spans="2:20" ht="15" customHeight="1" x14ac:dyDescent="0.35">
      <c r="C21" s="173"/>
      <c r="D21" s="265"/>
      <c r="E21" s="103"/>
      <c r="F21" s="205"/>
      <c r="G21" s="183">
        <f>Wfunctional</f>
        <v>0.28210000000000002</v>
      </c>
      <c r="H21" s="184" t="s">
        <v>18</v>
      </c>
      <c r="I21" s="7">
        <f>Wseats</f>
        <v>0.11260000000000001</v>
      </c>
      <c r="J21" s="4" t="s">
        <v>31</v>
      </c>
      <c r="K21" s="132">
        <f>'4-Model-Alt1-GreenNCAP'!K22</f>
        <v>0.9</v>
      </c>
      <c r="L21" s="127" t="s">
        <v>149</v>
      </c>
      <c r="M21" s="118" t="s">
        <v>50</v>
      </c>
      <c r="O21" t="s">
        <v>171</v>
      </c>
    </row>
    <row r="22" spans="2:20" ht="15" thickBot="1" x14ac:dyDescent="0.4">
      <c r="C22" s="173"/>
      <c r="D22" s="265"/>
      <c r="E22" s="103"/>
      <c r="F22" s="205"/>
      <c r="G22" s="183"/>
      <c r="H22" s="184"/>
      <c r="I22" s="7">
        <f>Wdoors</f>
        <v>7.3400000000000007E-2</v>
      </c>
      <c r="J22" s="4" t="s">
        <v>32</v>
      </c>
      <c r="K22" s="132">
        <f>'4-Model-Alt1-GreenNCAP'!K23</f>
        <v>1</v>
      </c>
      <c r="L22" s="127" t="s">
        <v>151</v>
      </c>
      <c r="M22" s="118" t="s">
        <v>51</v>
      </c>
      <c r="O22" t="s">
        <v>171</v>
      </c>
    </row>
    <row r="23" spans="2:20" x14ac:dyDescent="0.35">
      <c r="B23" s="92" t="s">
        <v>136</v>
      </c>
      <c r="C23" s="260"/>
      <c r="D23" s="265"/>
      <c r="E23" s="103"/>
      <c r="F23" s="205"/>
      <c r="G23" s="183"/>
      <c r="H23" s="184"/>
      <c r="I23" s="7">
        <f>Waccessheight</f>
        <v>4.8300000000000003E-2</v>
      </c>
      <c r="J23" s="4" t="s">
        <v>33</v>
      </c>
      <c r="K23" s="132">
        <f>'4-Model-Alt1-GreenNCAP'!K24</f>
        <v>0.7</v>
      </c>
      <c r="L23" s="127" t="s">
        <v>103</v>
      </c>
      <c r="M23" s="118" t="s">
        <v>52</v>
      </c>
      <c r="O23" t="s">
        <v>171</v>
      </c>
    </row>
    <row r="24" spans="2:20" ht="15" thickBot="1" x14ac:dyDescent="0.4">
      <c r="B24" s="142">
        <f>E14*D12+E27*D17+E39*D38</f>
        <v>0.51126687864249953</v>
      </c>
      <c r="C24" s="260"/>
      <c r="D24" s="265"/>
      <c r="E24" s="103"/>
      <c r="F24" s="205"/>
      <c r="G24" s="183"/>
      <c r="H24" s="184"/>
      <c r="I24" s="7">
        <f>Wsuspension</f>
        <v>4.1200000000000001E-2</v>
      </c>
      <c r="J24" s="4" t="s">
        <v>34</v>
      </c>
      <c r="K24" s="132">
        <f>'4-Model-Alt1-GreenNCAP'!K25</f>
        <v>0.8</v>
      </c>
      <c r="L24" s="127" t="s">
        <v>105</v>
      </c>
      <c r="M24" s="118" t="s">
        <v>55</v>
      </c>
      <c r="O24" t="s">
        <v>171</v>
      </c>
    </row>
    <row r="25" spans="2:20" x14ac:dyDescent="0.35">
      <c r="C25" s="173"/>
      <c r="D25" s="265"/>
      <c r="E25" s="103"/>
      <c r="F25" s="205"/>
      <c r="G25" s="183"/>
      <c r="H25" s="184"/>
      <c r="I25" s="7">
        <f>Wboot</f>
        <v>6.2399999999999997E-2</v>
      </c>
      <c r="J25" s="4" t="s">
        <v>35</v>
      </c>
      <c r="K25" s="157">
        <f>'4-Model-Alt1-GreenNCAP'!K26</f>
        <v>0.76551724137931021</v>
      </c>
      <c r="L25" s="269" t="s">
        <v>192</v>
      </c>
      <c r="M25" s="270"/>
      <c r="O25" t="s">
        <v>172</v>
      </c>
    </row>
    <row r="26" spans="2:20" x14ac:dyDescent="0.35">
      <c r="C26" s="173"/>
      <c r="D26" s="265"/>
      <c r="E26" s="111" t="s">
        <v>141</v>
      </c>
      <c r="F26" s="205"/>
      <c r="G26" s="183"/>
      <c r="H26" s="184"/>
      <c r="I26" s="7">
        <f>Wautonomous</f>
        <v>4.1700000000000001E-2</v>
      </c>
      <c r="J26" s="4" t="s">
        <v>115</v>
      </c>
      <c r="K26" s="132">
        <f>'4-Model-Alt1-GreenNCAP'!K27</f>
        <v>0.75</v>
      </c>
      <c r="L26" s="127" t="s">
        <v>158</v>
      </c>
      <c r="M26" s="118" t="s">
        <v>56</v>
      </c>
      <c r="O26" t="s">
        <v>171</v>
      </c>
    </row>
    <row r="27" spans="2:20" x14ac:dyDescent="0.35">
      <c r="C27" s="173"/>
      <c r="D27" s="265"/>
      <c r="E27" s="144">
        <f>(K17*I17+K18*I18+K19*I19+K20*I20)*G17+(K21*I21+K22*I22+K23*I23+K24*I24+K25*I25+K26*I26+K27*I27+K28*I28+K29*I29+K30*I30+K31*I31+K32*I32)*G21+K33*I33*G33+K34*I34*G34+(K35*I35+K36*I36+K37*I37)*G35</f>
        <v>0.87635772992128924</v>
      </c>
      <c r="F27" s="205"/>
      <c r="G27" s="183"/>
      <c r="H27" s="184"/>
      <c r="I27" s="7">
        <f>Wurbanaccess</f>
        <v>7.3999999999999996E-2</v>
      </c>
      <c r="J27" s="4" t="s">
        <v>36</v>
      </c>
      <c r="K27" s="132">
        <f>'4-Model-Alt1-GreenNCAP'!K28</f>
        <v>1</v>
      </c>
      <c r="L27" s="127" t="s">
        <v>162</v>
      </c>
      <c r="M27" s="118" t="s">
        <v>54</v>
      </c>
      <c r="O27" t="s">
        <v>171</v>
      </c>
    </row>
    <row r="28" spans="2:20" x14ac:dyDescent="0.35">
      <c r="C28" s="173"/>
      <c r="D28" s="265"/>
      <c r="E28" s="103"/>
      <c r="F28" s="205"/>
      <c r="G28" s="183"/>
      <c r="H28" s="184"/>
      <c r="I28" s="7">
        <f>Wtorque</f>
        <v>0.1105</v>
      </c>
      <c r="J28" s="4" t="s">
        <v>39</v>
      </c>
      <c r="K28" s="132">
        <f>'4-Model-Alt1-GreenNCAP'!K29</f>
        <v>0.78534752790547102</v>
      </c>
      <c r="L28" s="127">
        <v>0.17599999999999999</v>
      </c>
      <c r="M28" s="118" t="s">
        <v>4</v>
      </c>
      <c r="O28">
        <f>'3-ValueFunctions'!C16</f>
        <v>0.1</v>
      </c>
      <c r="P28">
        <f>'3-ValueFunctions'!D16</f>
        <v>0.2</v>
      </c>
      <c r="Q28">
        <f>'3-ValueFunctions'!E16</f>
        <v>0.105</v>
      </c>
      <c r="R28">
        <f>'3-ValueFunctions'!F16</f>
        <v>1.8</v>
      </c>
      <c r="S28">
        <f>'3-ValueFunctions'!G16</f>
        <v>1.8</v>
      </c>
      <c r="T28" t="str">
        <f>'3-ValueFunctions'!H16</f>
        <v>Increasing</v>
      </c>
    </row>
    <row r="29" spans="2:20" x14ac:dyDescent="0.35">
      <c r="C29" s="173"/>
      <c r="D29" s="265"/>
      <c r="E29" s="103"/>
      <c r="F29" s="205"/>
      <c r="G29" s="183"/>
      <c r="H29" s="184"/>
      <c r="I29" s="7">
        <f>Wpower</f>
        <v>9.8100000000000007E-2</v>
      </c>
      <c r="J29" s="4" t="s">
        <v>40</v>
      </c>
      <c r="K29" s="132">
        <f>'4-Model-Alt1-GreenNCAP'!K30</f>
        <v>0.25779664871511188</v>
      </c>
      <c r="L29" s="127">
        <v>0.107</v>
      </c>
      <c r="M29" s="118" t="s">
        <v>5</v>
      </c>
      <c r="O29">
        <f>'3-ValueFunctions'!C17</f>
        <v>0.06</v>
      </c>
      <c r="P29">
        <f>'3-ValueFunctions'!D17</f>
        <v>0.2</v>
      </c>
      <c r="Q29">
        <f>'3-ValueFunctions'!E17</f>
        <v>0.105</v>
      </c>
      <c r="R29">
        <f>'3-ValueFunctions'!F17</f>
        <v>1</v>
      </c>
      <c r="S29">
        <f>'3-ValueFunctions'!G17</f>
        <v>1.8</v>
      </c>
      <c r="T29" t="str">
        <f>'3-ValueFunctions'!H17</f>
        <v>Increasing</v>
      </c>
    </row>
    <row r="30" spans="2:20" x14ac:dyDescent="0.35">
      <c r="C30" s="173"/>
      <c r="D30" s="265"/>
      <c r="E30" s="103"/>
      <c r="F30" s="205"/>
      <c r="G30" s="183"/>
      <c r="H30" s="184"/>
      <c r="I30" s="7">
        <f>Wservstations</f>
        <v>0.10440000000000001</v>
      </c>
      <c r="J30" s="4" t="s">
        <v>37</v>
      </c>
      <c r="K30" s="132">
        <f>'4-Model-Alt1-GreenNCAP'!K31</f>
        <v>1</v>
      </c>
      <c r="L30" s="127" t="s">
        <v>163</v>
      </c>
      <c r="M30" s="118" t="s">
        <v>52</v>
      </c>
      <c r="O30" t="s">
        <v>171</v>
      </c>
    </row>
    <row r="31" spans="2:20" x14ac:dyDescent="0.35">
      <c r="C31" s="173"/>
      <c r="D31" s="265"/>
      <c r="E31" s="103"/>
      <c r="F31" s="205"/>
      <c r="G31" s="183"/>
      <c r="H31" s="184"/>
      <c r="I31" s="7">
        <f>Wrspeed</f>
        <v>0.1081</v>
      </c>
      <c r="J31" s="4" t="s">
        <v>38</v>
      </c>
      <c r="K31" s="132">
        <f>'4-Model-Alt1-GreenNCAP'!K32</f>
        <v>1</v>
      </c>
      <c r="L31" s="127">
        <v>10</v>
      </c>
      <c r="M31" s="118" t="s">
        <v>57</v>
      </c>
      <c r="O31">
        <f>'3-ValueFunctions'!C18</f>
        <v>30</v>
      </c>
      <c r="P31">
        <f>'3-ValueFunctions'!D18</f>
        <v>10</v>
      </c>
      <c r="Q31">
        <f>'3-ValueFunctions'!E18</f>
        <v>20</v>
      </c>
      <c r="R31">
        <f>'3-ValueFunctions'!F18</f>
        <v>0.8</v>
      </c>
      <c r="S31">
        <f>'3-ValueFunctions'!G18</f>
        <v>2.2000000000000002</v>
      </c>
      <c r="T31" t="str">
        <f>'3-ValueFunctions'!H18</f>
        <v>Decreasing</v>
      </c>
    </row>
    <row r="32" spans="2:20" x14ac:dyDescent="0.35">
      <c r="C32" s="173"/>
      <c r="D32" s="265"/>
      <c r="E32" s="103"/>
      <c r="F32" s="205"/>
      <c r="G32" s="183"/>
      <c r="H32" s="184"/>
      <c r="I32" s="7">
        <f>Wrange</f>
        <v>0.12529999999999999</v>
      </c>
      <c r="J32" s="4" t="s">
        <v>93</v>
      </c>
      <c r="K32" s="132">
        <f>'4-Model-Alt1-GreenNCAP'!K33</f>
        <v>1</v>
      </c>
      <c r="L32" s="127">
        <v>828</v>
      </c>
      <c r="M32" s="118" t="s">
        <v>3</v>
      </c>
      <c r="O32">
        <f>'3-ValueFunctions'!C19</f>
        <v>400</v>
      </c>
      <c r="P32">
        <f>'3-ValueFunctions'!D19</f>
        <v>700</v>
      </c>
      <c r="Q32">
        <f>'3-ValueFunctions'!E19</f>
        <v>430</v>
      </c>
      <c r="R32">
        <f>'3-ValueFunctions'!F19</f>
        <v>0.01</v>
      </c>
      <c r="S32">
        <f>'3-ValueFunctions'!G19</f>
        <v>1</v>
      </c>
      <c r="T32" t="str">
        <f>'3-ValueFunctions'!H19</f>
        <v>Increasing</v>
      </c>
    </row>
    <row r="33" spans="3:20" x14ac:dyDescent="0.35">
      <c r="C33" s="173"/>
      <c r="D33" s="265"/>
      <c r="E33" s="103"/>
      <c r="F33" s="205"/>
      <c r="G33" s="49">
        <f>Wemployment</f>
        <v>0.1132</v>
      </c>
      <c r="H33" s="52" t="s">
        <v>14</v>
      </c>
      <c r="I33" s="8">
        <v>1</v>
      </c>
      <c r="J33" s="4" t="s">
        <v>44</v>
      </c>
      <c r="K33" s="132">
        <f>'4-Model-Alt1-GreenNCAP'!K34</f>
        <v>0.6</v>
      </c>
      <c r="L33" s="127" t="s">
        <v>121</v>
      </c>
      <c r="M33" s="118" t="s">
        <v>63</v>
      </c>
      <c r="O33" t="s">
        <v>171</v>
      </c>
    </row>
    <row r="34" spans="3:20" x14ac:dyDescent="0.35">
      <c r="C34" s="173"/>
      <c r="D34" s="265"/>
      <c r="E34" s="103"/>
      <c r="F34" s="205"/>
      <c r="G34" s="49">
        <f>Wdesign</f>
        <v>0.2296</v>
      </c>
      <c r="H34" s="52" t="s">
        <v>15</v>
      </c>
      <c r="I34" s="8">
        <v>1</v>
      </c>
      <c r="J34" s="4" t="s">
        <v>45</v>
      </c>
      <c r="K34" s="132">
        <f>'4-Model-Alt1-GreenNCAP'!K35</f>
        <v>1</v>
      </c>
      <c r="L34" s="256" t="s">
        <v>195</v>
      </c>
      <c r="M34" s="257"/>
      <c r="O34" t="s">
        <v>173</v>
      </c>
    </row>
    <row r="35" spans="3:20" x14ac:dyDescent="0.35">
      <c r="C35" s="173"/>
      <c r="D35" s="265"/>
      <c r="E35" s="103"/>
      <c r="F35" s="205"/>
      <c r="G35" s="183">
        <f>Wstatus</f>
        <v>6.3500000000000001E-2</v>
      </c>
      <c r="H35" s="186" t="s">
        <v>16</v>
      </c>
      <c r="I35" s="9">
        <f>Wbrand</f>
        <v>0.47189999999999999</v>
      </c>
      <c r="J35" s="4" t="s">
        <v>41</v>
      </c>
      <c r="K35" s="132">
        <f>'4-Model-Alt1-GreenNCAP'!K36</f>
        <v>1</v>
      </c>
      <c r="L35" s="127" t="s">
        <v>125</v>
      </c>
      <c r="M35" s="118" t="s">
        <v>65</v>
      </c>
      <c r="O35" t="s">
        <v>171</v>
      </c>
    </row>
    <row r="36" spans="3:20" x14ac:dyDescent="0.35">
      <c r="C36" s="173"/>
      <c r="D36" s="265"/>
      <c r="E36" s="103"/>
      <c r="F36" s="205"/>
      <c r="G36" s="183" t="e">
        <f>(#REF!+#REF!*4+#REF!+#REF!+#REF!+#REF!)/9</f>
        <v>#REF!</v>
      </c>
      <c r="H36" s="186"/>
      <c r="I36" s="9">
        <f>Wsize</f>
        <v>0.33189999999999997</v>
      </c>
      <c r="J36" s="4" t="s">
        <v>42</v>
      </c>
      <c r="K36" s="132">
        <f>'4-Model-Alt1-GreenNCAP'!K37</f>
        <v>0.2</v>
      </c>
      <c r="L36" s="127" t="s">
        <v>129</v>
      </c>
      <c r="M36" s="118" t="s">
        <v>66</v>
      </c>
      <c r="O36" t="s">
        <v>171</v>
      </c>
    </row>
    <row r="37" spans="3:20" ht="15" thickBot="1" x14ac:dyDescent="0.4">
      <c r="C37" s="173"/>
      <c r="D37" s="266"/>
      <c r="E37" s="108"/>
      <c r="F37" s="206"/>
      <c r="G37" s="185" t="e">
        <f>(#REF!+#REF!*4+#REF!+#REF!+#REF!+#REF!)/9</f>
        <v>#REF!</v>
      </c>
      <c r="H37" s="187"/>
      <c r="I37" s="31">
        <f>Wprice</f>
        <v>0.19620000000000001</v>
      </c>
      <c r="J37" s="32" t="s">
        <v>43</v>
      </c>
      <c r="K37" s="137">
        <f>'4-Model-Alt1-GreenNCAP'!K38</f>
        <v>0.27551073689584887</v>
      </c>
      <c r="L37" s="128">
        <v>43200</v>
      </c>
      <c r="M37" s="119" t="s">
        <v>98</v>
      </c>
      <c r="O37">
        <f>'3-ValueFunctions'!C20</f>
        <v>15000</v>
      </c>
      <c r="P37">
        <f>'3-ValueFunctions'!D20</f>
        <v>150000</v>
      </c>
      <c r="Q37">
        <f>'3-ValueFunctions'!E20</f>
        <v>68500</v>
      </c>
      <c r="R37">
        <f>'3-ValueFunctions'!F20</f>
        <v>1.3</v>
      </c>
      <c r="S37">
        <f>'3-ValueFunctions'!G20</f>
        <v>1.6</v>
      </c>
      <c r="T37" t="str">
        <f>'3-ValueFunctions'!H20</f>
        <v>Increasing</v>
      </c>
    </row>
    <row r="38" spans="3:20" ht="15" customHeight="1" x14ac:dyDescent="0.35">
      <c r="C38" s="173"/>
      <c r="D38" s="249">
        <f>Wenvironm</f>
        <v>0.34</v>
      </c>
      <c r="E38" s="112" t="s">
        <v>142</v>
      </c>
      <c r="F38" s="191" t="s">
        <v>139</v>
      </c>
      <c r="G38" s="252">
        <v>1</v>
      </c>
      <c r="H38" s="253" t="s">
        <v>210</v>
      </c>
      <c r="I38" s="215">
        <v>1</v>
      </c>
      <c r="J38" s="221" t="s">
        <v>209</v>
      </c>
      <c r="K38" s="273">
        <v>0.45</v>
      </c>
      <c r="L38" s="276">
        <v>19.5</v>
      </c>
      <c r="M38" s="219" t="s">
        <v>211</v>
      </c>
      <c r="O38">
        <f>'3-ValueFunctions'!C21</f>
        <v>0</v>
      </c>
      <c r="P38">
        <f>'3-ValueFunctions'!D21</f>
        <v>10</v>
      </c>
      <c r="Q38">
        <f>'3-ValueFunctions'!E21</f>
        <v>1</v>
      </c>
      <c r="R38">
        <f>'3-ValueFunctions'!F21</f>
        <v>0.01</v>
      </c>
      <c r="S38">
        <f>'3-ValueFunctions'!G21</f>
        <v>1</v>
      </c>
      <c r="T38" t="str">
        <f>'3-ValueFunctions'!H21</f>
        <v>Increasing</v>
      </c>
    </row>
    <row r="39" spans="3:20" ht="15" customHeight="1" x14ac:dyDescent="0.35">
      <c r="C39" s="173"/>
      <c r="D39" s="250"/>
      <c r="E39" s="145">
        <f>K38*I38*G38</f>
        <v>0.45</v>
      </c>
      <c r="F39" s="192"/>
      <c r="G39" s="195"/>
      <c r="H39" s="198"/>
      <c r="I39" s="271"/>
      <c r="J39" s="272"/>
      <c r="K39" s="274"/>
      <c r="L39" s="277"/>
      <c r="M39" s="279"/>
      <c r="O39">
        <f>'3-ValueFunctions'!C22</f>
        <v>0</v>
      </c>
      <c r="P39">
        <f>'3-ValueFunctions'!D22</f>
        <v>10</v>
      </c>
      <c r="Q39">
        <f>'3-ValueFunctions'!E22</f>
        <v>1</v>
      </c>
      <c r="R39">
        <f>'3-ValueFunctions'!F22</f>
        <v>0.01</v>
      </c>
      <c r="S39">
        <f>'3-ValueFunctions'!G22</f>
        <v>1</v>
      </c>
      <c r="T39" t="str">
        <f>'3-ValueFunctions'!H22</f>
        <v>Increasing</v>
      </c>
    </row>
    <row r="40" spans="3:20" ht="15" thickBot="1" x14ac:dyDescent="0.4">
      <c r="C40" s="174"/>
      <c r="D40" s="251"/>
      <c r="E40" s="109"/>
      <c r="F40" s="193"/>
      <c r="G40" s="196"/>
      <c r="H40" s="199"/>
      <c r="I40" s="216"/>
      <c r="J40" s="222"/>
      <c r="K40" s="275"/>
      <c r="L40" s="278"/>
      <c r="M40" s="220"/>
      <c r="O40">
        <f>'3-ValueFunctions'!C23</f>
        <v>0</v>
      </c>
      <c r="P40">
        <f>'3-ValueFunctions'!D23</f>
        <v>10</v>
      </c>
      <c r="Q40">
        <f>'3-ValueFunctions'!E23</f>
        <v>1</v>
      </c>
      <c r="R40">
        <f>'3-ValueFunctions'!F23</f>
        <v>0.01</v>
      </c>
      <c r="S40">
        <f>'3-ValueFunctions'!G23</f>
        <v>1</v>
      </c>
      <c r="T40" t="str">
        <f>'3-ValueFunctions'!H23</f>
        <v>Increasing</v>
      </c>
    </row>
    <row r="41" spans="3:20" x14ac:dyDescent="0.35">
      <c r="D41" s="95"/>
      <c r="E41" s="95"/>
      <c r="G41" s="96"/>
      <c r="I41" s="73"/>
    </row>
    <row r="42" spans="3:20" x14ac:dyDescent="0.35">
      <c r="G42" s="97"/>
      <c r="I42" s="98"/>
    </row>
    <row r="43" spans="3:20" x14ac:dyDescent="0.35">
      <c r="G43" s="73"/>
      <c r="I43" s="73"/>
    </row>
    <row r="44" spans="3:20" x14ac:dyDescent="0.35">
      <c r="I44" s="99"/>
    </row>
    <row r="45" spans="3:20" x14ac:dyDescent="0.35">
      <c r="I45" s="100"/>
    </row>
    <row r="46" spans="3:20" x14ac:dyDescent="0.35">
      <c r="I46" s="73"/>
    </row>
    <row r="47" spans="3:20" x14ac:dyDescent="0.35">
      <c r="I47" s="73"/>
    </row>
    <row r="48" spans="3:20" x14ac:dyDescent="0.35">
      <c r="I48" s="101"/>
    </row>
    <row r="49" spans="9:9" x14ac:dyDescent="0.35">
      <c r="I49" s="73"/>
    </row>
  </sheetData>
  <mergeCells count="27">
    <mergeCell ref="I38:I40"/>
    <mergeCell ref="J38:J40"/>
    <mergeCell ref="K38:K40"/>
    <mergeCell ref="L38:L40"/>
    <mergeCell ref="M38:M40"/>
    <mergeCell ref="G35:G37"/>
    <mergeCell ref="H35:H37"/>
    <mergeCell ref="D38:D40"/>
    <mergeCell ref="F38:F40"/>
    <mergeCell ref="G38:G40"/>
    <mergeCell ref="H38:H40"/>
    <mergeCell ref="L34:M34"/>
    <mergeCell ref="C10:D10"/>
    <mergeCell ref="E10:M10"/>
    <mergeCell ref="C11:C40"/>
    <mergeCell ref="E11:F11"/>
    <mergeCell ref="D12:D16"/>
    <mergeCell ref="F12:F16"/>
    <mergeCell ref="G13:G15"/>
    <mergeCell ref="H13:H15"/>
    <mergeCell ref="D17:D37"/>
    <mergeCell ref="F17:F37"/>
    <mergeCell ref="G17:G20"/>
    <mergeCell ref="H17:H20"/>
    <mergeCell ref="G21:G32"/>
    <mergeCell ref="H21:H32"/>
    <mergeCell ref="L25:M25"/>
  </mergeCells>
  <pageMargins left="0.7" right="0.7" top="0.75" bottom="0.75" header="0.3" footer="0.3"/>
  <extLst>
    <ext xmlns:x14="http://schemas.microsoft.com/office/spreadsheetml/2009/9/main" uri="{CCE6A557-97BC-4b89-ADB6-D9C93CAAB3DF}">
      <x14:dataValidations xmlns:xm="http://schemas.microsoft.com/office/excel/2006/main" count="10">
        <x14:dataValidation type="list" allowBlank="1" showInputMessage="1" showErrorMessage="1" xr:uid="{00000000-0002-0000-0500-000000000000}">
          <x14:formula1>
            <xm:f>'3-ValueFunctions'!$L$39:$L$43</xm:f>
          </x14:formula1>
          <xm:sqref>L36</xm:sqref>
        </x14:dataValidation>
        <x14:dataValidation type="list" allowBlank="1" showInputMessage="1" showErrorMessage="1" xr:uid="{00000000-0002-0000-0500-000001000000}">
          <x14:formula1>
            <xm:f>'3-ValueFunctions'!$L$36:$L$38</xm:f>
          </x14:formula1>
          <xm:sqref>L35</xm:sqref>
        </x14:dataValidation>
        <x14:dataValidation type="list" allowBlank="1" showInputMessage="1" showErrorMessage="1" xr:uid="{00000000-0002-0000-0500-000002000000}">
          <x14:formula1>
            <xm:f>'3-ValueFunctions'!$L$33:$L$35</xm:f>
          </x14:formula1>
          <xm:sqref>L33</xm:sqref>
        </x14:dataValidation>
        <x14:dataValidation type="list" allowBlank="1" showInputMessage="1" showErrorMessage="1" xr:uid="{00000000-0002-0000-0500-000003000000}">
          <x14:formula1>
            <xm:f>'3-ValueFunctions'!$L$30:$L$32</xm:f>
          </x14:formula1>
          <xm:sqref>L30</xm:sqref>
        </x14:dataValidation>
        <x14:dataValidation type="list" allowBlank="1" showInputMessage="1" showErrorMessage="1" xr:uid="{00000000-0002-0000-0500-000004000000}">
          <x14:formula1>
            <xm:f>'3-ValueFunctions'!$L$28:$L$29</xm:f>
          </x14:formula1>
          <xm:sqref>L27</xm:sqref>
        </x14:dataValidation>
        <x14:dataValidation type="list" allowBlank="1" showInputMessage="1" showErrorMessage="1" xr:uid="{00000000-0002-0000-0500-000005000000}">
          <x14:formula1>
            <xm:f>'3-ValueFunctions'!$L$22:$L$27</xm:f>
          </x14:formula1>
          <xm:sqref>L26</xm:sqref>
        </x14:dataValidation>
        <x14:dataValidation type="list" allowBlank="1" showInputMessage="1" showErrorMessage="1" xr:uid="{00000000-0002-0000-0500-000006000000}">
          <x14:formula1>
            <xm:f>'3-ValueFunctions'!$L$19:$L$21</xm:f>
          </x14:formula1>
          <xm:sqref>L24</xm:sqref>
        </x14:dataValidation>
        <x14:dataValidation type="list" allowBlank="1" showInputMessage="1" showErrorMessage="1" xr:uid="{00000000-0002-0000-0500-000007000000}">
          <x14:formula1>
            <xm:f>'3-ValueFunctions'!$L$15:$L$18</xm:f>
          </x14:formula1>
          <xm:sqref>L23</xm:sqref>
        </x14:dataValidation>
        <x14:dataValidation type="list" allowBlank="1" showInputMessage="1" showErrorMessage="1" xr:uid="{00000000-0002-0000-0500-000008000000}">
          <x14:formula1>
            <xm:f>'3-ValueFunctions'!$L$13:$L$14</xm:f>
          </x14:formula1>
          <xm:sqref>L22</xm:sqref>
        </x14:dataValidation>
        <x14:dataValidation type="list" allowBlank="1" showInputMessage="1" showErrorMessage="1" xr:uid="{00000000-0002-0000-0500-000009000000}">
          <x14:formula1>
            <xm:f>'3-ValueFunctions'!$L$7:$L$12</xm:f>
          </x14:formula1>
          <xm:sqref>L21</xm:sqref>
        </x14:dataValidation>
      </x14:dataValidation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98E09BA-5529-47ED-BDCF-94EEDB583281}">
  <ds:schemaRefs>
    <ds:schemaRef ds:uri="http://www.w3.org/2001/XMLSchema"/>
    <ds:schemaRef ds:uri="http://www.boozallen.com/argo/gui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6</vt:i4>
      </vt:variant>
      <vt:variant>
        <vt:lpstr>Rangos con nombre</vt:lpstr>
      </vt:variant>
      <vt:variant>
        <vt:i4>36</vt:i4>
      </vt:variant>
    </vt:vector>
  </HeadingPairs>
  <TitlesOfParts>
    <vt:vector size="42" baseType="lpstr">
      <vt:lpstr>0-Instructions</vt:lpstr>
      <vt:lpstr>1-Weights-Alt1-GreenNCAP</vt:lpstr>
      <vt:lpstr>2-Weights-Alt2-Ecoind99</vt:lpstr>
      <vt:lpstr>3-ValueFunctions</vt:lpstr>
      <vt:lpstr>4-Model-Alt1-GreenNCAP</vt:lpstr>
      <vt:lpstr>5-Model-Alt2-Ecoind99</vt:lpstr>
      <vt:lpstr>Waccessheight</vt:lpstr>
      <vt:lpstr>Wacqcost</vt:lpstr>
      <vt:lpstr>Wautonomous</vt:lpstr>
      <vt:lpstr>Wboot</vt:lpstr>
      <vt:lpstr>Wbrand</vt:lpstr>
      <vt:lpstr>Wdesign</vt:lpstr>
      <vt:lpstr>Wdoors</vt:lpstr>
      <vt:lpstr>Weconom</vt:lpstr>
      <vt:lpstr>Wemployment</vt:lpstr>
      <vt:lpstr>Wenvironm</vt:lpstr>
      <vt:lpstr>Weuroncap</vt:lpstr>
      <vt:lpstr>Wfixedcost</vt:lpstr>
      <vt:lpstr>Wfuel</vt:lpstr>
      <vt:lpstr>Wfunctional</vt:lpstr>
      <vt:lpstr>WgreenSI1</vt:lpstr>
      <vt:lpstr>WgreenSI2</vt:lpstr>
      <vt:lpstr>WgreenSI3</vt:lpstr>
      <vt:lpstr>Wmaintcosts</vt:lpstr>
      <vt:lpstr>Wncapadults</vt:lpstr>
      <vt:lpstr>Wncapaids</vt:lpstr>
      <vt:lpstr>Wncapchild</vt:lpstr>
      <vt:lpstr>Wncaproadusers</vt:lpstr>
      <vt:lpstr>Wpower</vt:lpstr>
      <vt:lpstr>Wprice</vt:lpstr>
      <vt:lpstr>Wrange</vt:lpstr>
      <vt:lpstr>Wresidvalue</vt:lpstr>
      <vt:lpstr>Wrspeed</vt:lpstr>
      <vt:lpstr>Wseats</vt:lpstr>
      <vt:lpstr>Wservstations</vt:lpstr>
      <vt:lpstr>Wsize</vt:lpstr>
      <vt:lpstr>Wsocial</vt:lpstr>
      <vt:lpstr>Wstatus</vt:lpstr>
      <vt:lpstr>Wsuspension</vt:lpstr>
      <vt:lpstr>Wtorque</vt:lpstr>
      <vt:lpstr>Wurbanaccess</vt:lpstr>
      <vt:lpstr>Wusecost</vt:lpstr>
    </vt:vector>
  </TitlesOfParts>
  <Company>udc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María del Pilar De la Cruz López</dc:creator>
  <cp:lastModifiedBy>Jesús Cardenal Carro</cp:lastModifiedBy>
  <cp:lastPrinted>2025-03-05T14:31:25Z</cp:lastPrinted>
  <dcterms:created xsi:type="dcterms:W3CDTF">2024-02-08T10:13:01Z</dcterms:created>
  <dcterms:modified xsi:type="dcterms:W3CDTF">2025-09-11T10:03:55Z</dcterms:modified>
</cp:coreProperties>
</file>