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readOnlyRecommended="1"/>
  <workbookPr defaultThemeVersion="124226"/>
  <mc:AlternateContent xmlns:mc="http://schemas.openxmlformats.org/markup-compatibility/2006">
    <mc:Choice Requires="x15">
      <x15ac:absPath xmlns:x15ac="http://schemas.microsoft.com/office/spreadsheetml/2010/11/ac" url="C:\Users\pmgreg02\Desktop\"/>
    </mc:Choice>
  </mc:AlternateContent>
  <bookViews>
    <workbookView xWindow="0" yWindow="0" windowWidth="28800" windowHeight="12375" tabRatio="719" activeTab="10"/>
  </bookViews>
  <sheets>
    <sheet name="Team ID" sheetId="14" r:id="rId1"/>
    <sheet name="Part 1" sheetId="2" r:id="rId2"/>
    <sheet name="Part 2" sheetId="5" r:id="rId3"/>
    <sheet name="Part 3" sheetId="6" r:id="rId4"/>
    <sheet name="Part 4" sheetId="7" r:id="rId5"/>
    <sheet name="Part 5" sheetId="8" r:id="rId6"/>
    <sheet name="Part 6" sheetId="9" r:id="rId7"/>
    <sheet name="Part 7" sheetId="11" r:id="rId8"/>
    <sheet name="Chart1" sheetId="15" r:id="rId9"/>
    <sheet name="Chart2" sheetId="16" r:id="rId10"/>
    <sheet name="Part 8" sheetId="12" r:id="rId11"/>
    <sheet name="Part 9" sheetId="13" r:id="rId12"/>
  </sheets>
  <calcPr calcId="152511"/>
  <customWorkbookViews>
    <customWorkbookView name="McIntosh,Warren D - Personal View" guid="{F48879B3-465F-4E59-8572-F7D7277CEA75}" mergeInterval="0" personalView="1" maximized="1" xWindow="-8" yWindow="-8" windowWidth="1936" windowHeight="1014" tabRatio="719" activeSheetId="7"/>
    <customWorkbookView name="Warren D. McIntosh - Personal View" guid="{3B654179-D0CF-4576-A51B-BDA963916BB0}" mergeInterval="0" personalView="1" maximized="1" xWindow="-8" yWindow="-8" windowWidth="1616" windowHeight="835" tabRatio="719" activeSheetId="1"/>
  </customWorkbookViews>
</workbook>
</file>

<file path=xl/calcChain.xml><?xml version="1.0" encoding="utf-8"?>
<calcChain xmlns="http://schemas.openxmlformats.org/spreadsheetml/2006/main">
  <c r="C8" i="9" l="1"/>
  <c r="D10" i="11"/>
  <c r="E10" i="11"/>
  <c r="C10" i="11"/>
  <c r="C9" i="9"/>
  <c r="K8" i="2"/>
  <c r="L6" i="14" l="1"/>
  <c r="E5" i="12" l="1"/>
  <c r="E6" i="12"/>
  <c r="E7" i="12"/>
  <c r="E8" i="12"/>
  <c r="E9" i="12"/>
  <c r="E10" i="12"/>
  <c r="E11" i="12"/>
  <c r="D5" i="12"/>
  <c r="D6" i="12"/>
  <c r="D7" i="12"/>
  <c r="D8" i="12"/>
  <c r="D9" i="12"/>
  <c r="D10" i="12"/>
  <c r="D11" i="12"/>
  <c r="C5" i="12"/>
  <c r="C6" i="12"/>
  <c r="C7" i="12"/>
  <c r="C8" i="12"/>
  <c r="C9" i="12"/>
  <c r="C10" i="12"/>
  <c r="C11" i="12"/>
  <c r="J25" i="2"/>
  <c r="J24" i="2"/>
  <c r="J23" i="2"/>
  <c r="J16" i="2"/>
  <c r="G7" i="12" l="1"/>
  <c r="G11" i="12"/>
  <c r="G9" i="12"/>
  <c r="G10" i="12"/>
  <c r="G8" i="12"/>
  <c r="G6" i="12"/>
  <c r="G5" i="12"/>
  <c r="F8" i="12"/>
  <c r="F6" i="12"/>
  <c r="F10" i="12"/>
  <c r="F11" i="12"/>
  <c r="F9" i="12"/>
  <c r="F7" i="12"/>
  <c r="H7" i="12" s="1"/>
  <c r="I7" i="12" s="1"/>
  <c r="F5" i="12"/>
  <c r="C25" i="12"/>
  <c r="D25" i="12"/>
  <c r="E25" i="12"/>
  <c r="C26" i="12"/>
  <c r="D26" i="12"/>
  <c r="E26" i="12"/>
  <c r="C27" i="12"/>
  <c r="D27" i="12"/>
  <c r="E27" i="12"/>
  <c r="C28" i="12"/>
  <c r="D28" i="12"/>
  <c r="E28" i="12"/>
  <c r="C29" i="12"/>
  <c r="D29" i="12"/>
  <c r="E29" i="12"/>
  <c r="C30" i="12"/>
  <c r="D30" i="12"/>
  <c r="E30" i="12"/>
  <c r="D24" i="12"/>
  <c r="E24" i="12"/>
  <c r="C24" i="12"/>
  <c r="H6" i="12" l="1"/>
  <c r="I6" i="12" s="1"/>
  <c r="H10" i="12"/>
  <c r="I10" i="12" s="1"/>
  <c r="H11" i="12"/>
  <c r="I11" i="12" s="1"/>
  <c r="H5" i="12"/>
  <c r="I5" i="12" s="1"/>
  <c r="H8" i="12"/>
  <c r="I8" i="12" s="1"/>
  <c r="H9" i="12"/>
  <c r="I9" i="12" s="1"/>
  <c r="F12" i="12"/>
  <c r="G26" i="12"/>
  <c r="G28" i="12"/>
  <c r="G25" i="12"/>
  <c r="G29" i="12"/>
  <c r="F24" i="12"/>
  <c r="F28" i="12"/>
  <c r="H28" i="12" s="1"/>
  <c r="K28" i="12" s="1"/>
  <c r="F30" i="12"/>
  <c r="G27" i="12"/>
  <c r="F29" i="12"/>
  <c r="F25" i="12"/>
  <c r="F26" i="12"/>
  <c r="F27" i="12"/>
  <c r="H27" i="12" s="1"/>
  <c r="K27" i="12" s="1"/>
  <c r="G24" i="12"/>
  <c r="G30" i="12"/>
  <c r="G29" i="13"/>
  <c r="G30" i="13"/>
  <c r="G31" i="13"/>
  <c r="G32" i="13"/>
  <c r="G33" i="13"/>
  <c r="G34" i="13"/>
  <c r="G28" i="13"/>
  <c r="F29" i="13"/>
  <c r="F30" i="13"/>
  <c r="F31" i="13"/>
  <c r="F32" i="13"/>
  <c r="F33" i="13"/>
  <c r="F34" i="13"/>
  <c r="F28" i="13"/>
  <c r="C6" i="11"/>
  <c r="C9" i="11" s="1"/>
  <c r="D6" i="11"/>
  <c r="E6" i="11"/>
  <c r="E9" i="11" s="1"/>
  <c r="E17" i="7"/>
  <c r="I24" i="2"/>
  <c r="J27" i="2"/>
  <c r="I27" i="2" s="1"/>
  <c r="J26" i="2"/>
  <c r="I26" i="2" s="1"/>
  <c r="J17" i="2"/>
  <c r="I17" i="2" s="1"/>
  <c r="I23" i="2"/>
  <c r="I25" i="2"/>
  <c r="J22" i="2"/>
  <c r="I22" i="2" s="1"/>
  <c r="J21" i="2"/>
  <c r="I21" i="2" s="1"/>
  <c r="J20" i="2"/>
  <c r="I20" i="2" s="1"/>
  <c r="J18" i="2"/>
  <c r="I18" i="2" s="1"/>
  <c r="J19" i="2"/>
  <c r="I19" i="2" s="1"/>
  <c r="I16" i="2"/>
  <c r="J15" i="2"/>
  <c r="I15" i="2" s="1"/>
  <c r="J14" i="2"/>
  <c r="I14" i="2" s="1"/>
  <c r="J13" i="2"/>
  <c r="I13" i="2" s="1"/>
  <c r="J12" i="2"/>
  <c r="I12" i="2" s="1"/>
  <c r="J11" i="2"/>
  <c r="I11" i="2" s="1"/>
  <c r="J10" i="2"/>
  <c r="I10" i="2" s="1"/>
  <c r="J9" i="2"/>
  <c r="I9" i="2" s="1"/>
  <c r="J8" i="2"/>
  <c r="I8" i="2" s="1"/>
  <c r="H26" i="12" l="1"/>
  <c r="K26" i="12" s="1"/>
  <c r="D8" i="11"/>
  <c r="D9" i="11"/>
  <c r="E8" i="11"/>
  <c r="E12" i="11" s="1"/>
  <c r="C8" i="11"/>
  <c r="C12" i="11" s="1"/>
  <c r="H25" i="12"/>
  <c r="K25" i="12" s="1"/>
  <c r="I27" i="12"/>
  <c r="J27" i="12" s="1"/>
  <c r="L27" i="12" s="1"/>
  <c r="H29" i="12"/>
  <c r="K29" i="12" s="1"/>
  <c r="H30" i="12"/>
  <c r="K30" i="12" s="1"/>
  <c r="G31" i="12"/>
  <c r="I28" i="12"/>
  <c r="J28" i="12" s="1"/>
  <c r="L28" i="12" s="1"/>
  <c r="I25" i="12"/>
  <c r="J25" i="12" s="1"/>
  <c r="L25" i="12" s="1"/>
  <c r="I26" i="12"/>
  <c r="J26" i="12" s="1"/>
  <c r="L26" i="12" s="1"/>
  <c r="I29" i="12"/>
  <c r="J29" i="12" s="1"/>
  <c r="L29" i="12" s="1"/>
  <c r="F31" i="12"/>
  <c r="H24" i="12"/>
  <c r="F37" i="13"/>
  <c r="G37" i="13"/>
  <c r="E37" i="13"/>
  <c r="C14" i="11" l="1"/>
  <c r="C15" i="11"/>
  <c r="C17" i="11" s="1"/>
  <c r="E14" i="11"/>
  <c r="E15" i="11"/>
  <c r="E17" i="11" s="1"/>
  <c r="D12" i="11"/>
  <c r="I30" i="12"/>
  <c r="J30" i="12" s="1"/>
  <c r="L30" i="12" s="1"/>
  <c r="H31" i="12"/>
  <c r="K24" i="12"/>
  <c r="K31" i="12" s="1"/>
  <c r="I24" i="12"/>
  <c r="J14" i="8"/>
  <c r="I14" i="8"/>
  <c r="H14" i="8"/>
  <c r="J8" i="8"/>
  <c r="I8" i="8"/>
  <c r="H8" i="8"/>
  <c r="G8" i="8"/>
  <c r="F20" i="7"/>
  <c r="I12" i="6"/>
  <c r="H12" i="6"/>
  <c r="J6" i="6"/>
  <c r="G10" i="7"/>
  <c r="G9" i="7"/>
  <c r="G8" i="7"/>
  <c r="J12" i="6"/>
  <c r="G9" i="5"/>
  <c r="I6" i="6"/>
  <c r="H6" i="6"/>
  <c r="G6" i="6"/>
  <c r="F16" i="5"/>
  <c r="F15" i="5"/>
  <c r="F14" i="5"/>
  <c r="G8" i="5"/>
  <c r="G7" i="5"/>
  <c r="G6" i="5"/>
  <c r="D14" i="11" l="1"/>
  <c r="D15" i="11"/>
  <c r="D17" i="11" s="1"/>
  <c r="I31" i="12"/>
  <c r="J24" i="12"/>
  <c r="J31" i="12" l="1"/>
  <c r="L24" i="12"/>
  <c r="L31" i="12" s="1"/>
  <c r="B26" i="13"/>
  <c r="B29" i="13"/>
  <c r="E29" i="13" s="1"/>
  <c r="C29" i="13"/>
  <c r="D29" i="13"/>
  <c r="B30" i="13"/>
  <c r="E30" i="13" s="1"/>
  <c r="C30" i="13"/>
  <c r="D30" i="13"/>
  <c r="B31" i="13"/>
  <c r="E31" i="13" s="1"/>
  <c r="C31" i="13"/>
  <c r="D31" i="13"/>
  <c r="B32" i="13"/>
  <c r="E32" i="13" s="1"/>
  <c r="C32" i="13"/>
  <c r="D32" i="13"/>
  <c r="B33" i="13"/>
  <c r="E33" i="13" s="1"/>
  <c r="C33" i="13"/>
  <c r="D33" i="13"/>
  <c r="B34" i="13"/>
  <c r="E34" i="13" s="1"/>
  <c r="C34" i="13"/>
  <c r="D34" i="13"/>
  <c r="C28" i="13"/>
  <c r="D28" i="13"/>
  <c r="B28" i="13"/>
  <c r="E28" i="13" s="1"/>
  <c r="E36" i="13" l="1"/>
  <c r="E35" i="13"/>
  <c r="H31" i="13"/>
  <c r="I31" i="13" s="1"/>
  <c r="H32" i="13"/>
  <c r="I32" i="13" s="1"/>
  <c r="H33" i="13"/>
  <c r="I33" i="13" s="1"/>
  <c r="H29" i="13"/>
  <c r="I29" i="13" s="1"/>
  <c r="H34" i="13"/>
  <c r="I34" i="13" s="1"/>
  <c r="H30" i="13"/>
  <c r="I30" i="13" s="1"/>
  <c r="M10" i="11"/>
  <c r="N10" i="11"/>
  <c r="L10" i="11"/>
  <c r="N6" i="11"/>
  <c r="N9" i="11" s="1"/>
  <c r="M6" i="11"/>
  <c r="M8" i="11" s="1"/>
  <c r="L6" i="11"/>
  <c r="L9" i="11" s="1"/>
  <c r="D8" i="9"/>
  <c r="E8" i="9" s="1"/>
  <c r="D17" i="8"/>
  <c r="E17" i="8" s="1"/>
  <c r="D16" i="8"/>
  <c r="E16" i="8" s="1"/>
  <c r="D18" i="8"/>
  <c r="E18" i="8" s="1"/>
  <c r="D15" i="8"/>
  <c r="E15" i="8" s="1"/>
  <c r="D17" i="7"/>
  <c r="D18" i="7"/>
  <c r="E18" i="7" s="1"/>
  <c r="D16" i="7"/>
  <c r="E16" i="7" s="1"/>
  <c r="D15" i="7"/>
  <c r="E15" i="7" s="1"/>
  <c r="D9" i="6"/>
  <c r="D9" i="5"/>
  <c r="N8" i="11" l="1"/>
  <c r="N12" i="11" s="1"/>
  <c r="N14" i="11" s="1"/>
  <c r="N15" i="11" s="1"/>
  <c r="N17" i="11" s="1"/>
  <c r="D10" i="6"/>
  <c r="E9" i="6"/>
  <c r="D10" i="5"/>
  <c r="E10" i="5" s="1"/>
  <c r="E9" i="5"/>
  <c r="M9" i="11"/>
  <c r="M12" i="11" s="1"/>
  <c r="M14" i="11" s="1"/>
  <c r="M15" i="11" s="1"/>
  <c r="M17" i="11" s="1"/>
  <c r="L8" i="11"/>
  <c r="L12" i="11" s="1"/>
  <c r="L14" i="11" s="1"/>
  <c r="F36" i="13"/>
  <c r="F35" i="13"/>
  <c r="H28" i="13"/>
  <c r="H37" i="13" s="1"/>
  <c r="G35" i="13"/>
  <c r="G36" i="13"/>
  <c r="D19" i="8"/>
  <c r="E19" i="8" s="1"/>
  <c r="D19" i="7"/>
  <c r="D20" i="7" l="1"/>
  <c r="E19" i="7"/>
  <c r="D11" i="5"/>
  <c r="D12" i="5" s="1"/>
  <c r="D11" i="6"/>
  <c r="E10" i="6"/>
  <c r="L15" i="11"/>
  <c r="L17" i="11" s="1"/>
  <c r="H36" i="13"/>
  <c r="H35" i="13"/>
  <c r="I28" i="13"/>
  <c r="I37" i="13" s="1"/>
  <c r="D20" i="8"/>
  <c r="E11" i="5" l="1"/>
  <c r="D21" i="7"/>
  <c r="E20" i="7"/>
  <c r="D21" i="8"/>
  <c r="E20" i="8"/>
  <c r="D12" i="6"/>
  <c r="E11" i="6"/>
  <c r="D13" i="5"/>
  <c r="E12" i="5"/>
  <c r="I36" i="13"/>
  <c r="I35" i="13"/>
  <c r="D22" i="7" l="1"/>
  <c r="E21" i="7"/>
  <c r="D22" i="8"/>
  <c r="E21" i="8"/>
  <c r="E12" i="6"/>
  <c r="D13" i="6"/>
  <c r="E13" i="5"/>
  <c r="D14" i="5"/>
  <c r="E22" i="7" l="1"/>
  <c r="D23" i="7"/>
  <c r="D23" i="8"/>
  <c r="E23" i="8" s="1"/>
  <c r="E22" i="8"/>
  <c r="D14" i="6"/>
  <c r="E13" i="6"/>
  <c r="D16" i="5"/>
  <c r="E16" i="5" s="1"/>
  <c r="E14" i="5"/>
  <c r="D24" i="7" l="1"/>
  <c r="E24" i="7" s="1"/>
  <c r="E23" i="7"/>
  <c r="D24" i="8"/>
  <c r="E24" i="8" s="1"/>
  <c r="D16" i="6"/>
  <c r="E16" i="6" s="1"/>
  <c r="E14" i="6"/>
</calcChain>
</file>

<file path=xl/sharedStrings.xml><?xml version="1.0" encoding="utf-8"?>
<sst xmlns="http://schemas.openxmlformats.org/spreadsheetml/2006/main" count="450" uniqueCount="175">
  <si>
    <t>Price Quote</t>
  </si>
  <si>
    <t>Item</t>
  </si>
  <si>
    <t>Item:</t>
  </si>
  <si>
    <t>Hasps</t>
  </si>
  <si>
    <t>Connectors</t>
  </si>
  <si>
    <t>Quantity:</t>
  </si>
  <si>
    <t>Grommits</t>
  </si>
  <si>
    <t>Unit Price:</t>
  </si>
  <si>
    <t>Widgets</t>
  </si>
  <si>
    <t>Total Before Discount:</t>
  </si>
  <si>
    <t>Discount %:</t>
  </si>
  <si>
    <t>Discount Amount:</t>
  </si>
  <si>
    <t>Total After Discount:</t>
  </si>
  <si>
    <t>Discount</t>
  </si>
  <si>
    <t>Total Due:</t>
  </si>
  <si>
    <t>Item 1:</t>
  </si>
  <si>
    <t>Quantity 1:</t>
  </si>
  <si>
    <t>Item 2:</t>
  </si>
  <si>
    <t>Quantity 2:</t>
  </si>
  <si>
    <t>Item 3:</t>
  </si>
  <si>
    <t>Quantity 3:</t>
  </si>
  <si>
    <t>Item 4:</t>
  </si>
  <si>
    <t>Quantity 4:</t>
  </si>
  <si>
    <t>Unit Price 1:</t>
  </si>
  <si>
    <t>Unit Price 2:</t>
  </si>
  <si>
    <t>Unit Price 3:</t>
  </si>
  <si>
    <t>Unit Price 4:</t>
  </si>
  <si>
    <t>Age:</t>
  </si>
  <si>
    <t>Ticket Location:</t>
  </si>
  <si>
    <t>Premier</t>
  </si>
  <si>
    <t>Balcony</t>
  </si>
  <si>
    <t>Standing Room</t>
  </si>
  <si>
    <t>Minutes Used:</t>
  </si>
  <si>
    <t>Minutes</t>
  </si>
  <si>
    <t>Base</t>
  </si>
  <si>
    <t>Processing Charge:</t>
  </si>
  <si>
    <t xml:space="preserve"> </t>
  </si>
  <si>
    <t>Total Charge:</t>
  </si>
  <si>
    <t>Average cost per minute:</t>
  </si>
  <si>
    <t>Base Charge:</t>
  </si>
  <si>
    <t>Excess Minutes Charge:</t>
  </si>
  <si>
    <t>Charges Before Taxes:</t>
  </si>
  <si>
    <t>Allied Student Cell Phone</t>
  </si>
  <si>
    <t>Number of Dependents</t>
  </si>
  <si>
    <t>Hourly Wage</t>
  </si>
  <si>
    <t>Hours Worked</t>
  </si>
  <si>
    <t>Regular Pay</t>
  </si>
  <si>
    <t>Overtime Pay</t>
  </si>
  <si>
    <t>Gross Pay</t>
  </si>
  <si>
    <t>Taxable Pay</t>
  </si>
  <si>
    <t>Withholding Tax</t>
  </si>
  <si>
    <t>Soc Sec Tax</t>
  </si>
  <si>
    <t>Net Pay</t>
  </si>
  <si>
    <t>Barber</t>
  </si>
  <si>
    <t>Grauer</t>
  </si>
  <si>
    <t>Plant</t>
  </si>
  <si>
    <t>Pons</t>
  </si>
  <si>
    <t>Spitzer</t>
  </si>
  <si>
    <t>Stutz</t>
  </si>
  <si>
    <t>Yanez</t>
  </si>
  <si>
    <t>Totals</t>
  </si>
  <si>
    <t>Assumptions</t>
  </si>
  <si>
    <t>Tax Rate</t>
  </si>
  <si>
    <t>Deduction per dependent</t>
  </si>
  <si>
    <t>Trip</t>
  </si>
  <si>
    <t>Flying Hours</t>
  </si>
  <si>
    <t>Reserve Fuel</t>
  </si>
  <si>
    <t>Holding Fuel</t>
  </si>
  <si>
    <t>Total Fuel</t>
  </si>
  <si>
    <t>Cost</t>
  </si>
  <si>
    <t>Fuel Information</t>
  </si>
  <si>
    <t>Percent of flying fuel required for reserves</t>
  </si>
  <si>
    <t>Percent of flying fuel required for holding</t>
  </si>
  <si>
    <t>Last Name</t>
  </si>
  <si>
    <t>First Name</t>
  </si>
  <si>
    <t>Price Table</t>
  </si>
  <si>
    <t>Discount Table</t>
  </si>
  <si>
    <t>Charge Table</t>
  </si>
  <si>
    <t>Excess Per Minute</t>
  </si>
  <si>
    <t>Tax Amount:</t>
  </si>
  <si>
    <t>Overtime Threshold (hours)</t>
  </si>
  <si>
    <t>Overtime Rate</t>
  </si>
  <si>
    <t>Day of the Month</t>
  </si>
  <si>
    <t>Unit Price</t>
  </si>
  <si>
    <t>Amount</t>
  </si>
  <si>
    <t>Ticket Price Table</t>
  </si>
  <si>
    <t>Ticket Price Quote</t>
  </si>
  <si>
    <t>Price (a):</t>
  </si>
  <si>
    <t>Price (b):</t>
  </si>
  <si>
    <t>Ticket Location</t>
  </si>
  <si>
    <t>Employee Payroll Table</t>
  </si>
  <si>
    <t>Sales Tax (6%):</t>
  </si>
  <si>
    <t>Processing charge per month:</t>
  </si>
  <si>
    <t>Social Security tax rate</t>
  </si>
  <si>
    <t>Aircraft Type</t>
  </si>
  <si>
    <t>Fall 2012</t>
  </si>
  <si>
    <t>xxx</t>
  </si>
  <si>
    <t>Main Floor</t>
  </si>
  <si>
    <t>Rain</t>
  </si>
  <si>
    <t>Answers</t>
  </si>
  <si>
    <t>18 and Under</t>
  </si>
  <si>
    <t>Age</t>
  </si>
  <si>
    <t>Over 18</t>
  </si>
  <si>
    <t>Mean</t>
  </si>
  <si>
    <t>Maximum</t>
  </si>
  <si>
    <t>LGA - MIA</t>
  </si>
  <si>
    <t>LAX - SFO</t>
  </si>
  <si>
    <t>ATL - MIA</t>
  </si>
  <si>
    <t>JFK - ORD</t>
  </si>
  <si>
    <t>LGA - ATL</t>
  </si>
  <si>
    <t>LAX - LAS</t>
  </si>
  <si>
    <t>LAX - PHX</t>
  </si>
  <si>
    <t>A-320</t>
  </si>
  <si>
    <t>Threshold number of pounds for price break</t>
  </si>
  <si>
    <t>Price per pound if threshold is reached</t>
  </si>
  <si>
    <t>Price per pound if threshold is not met</t>
  </si>
  <si>
    <t>Range
(miles)</t>
  </si>
  <si>
    <t>Fuel Consumption (lbs/hr)</t>
  </si>
  <si>
    <t>B-737</t>
  </si>
  <si>
    <t>ERJ-190</t>
  </si>
  <si>
    <t>B-757</t>
  </si>
  <si>
    <t>CRJ-900</t>
  </si>
  <si>
    <t>Fuel Estimates of Popular Flights</t>
  </si>
  <si>
    <t>CIS-300-</t>
  </si>
  <si>
    <t>(McIntosh)</t>
  </si>
  <si>
    <t>Max. Wind Speed
(MPH)</t>
  </si>
  <si>
    <t>High Temp.
(°F)</t>
  </si>
  <si>
    <t>Low Temp.
(°F)</t>
  </si>
  <si>
    <r>
      <rPr>
        <b/>
        <u/>
        <sz val="11"/>
        <rFont val="Segoe UI"/>
        <family val="2"/>
      </rPr>
      <t>Instructions</t>
    </r>
    <r>
      <rPr>
        <sz val="11"/>
        <rFont val="Segoe UI"/>
        <family val="2"/>
      </rPr>
      <t xml:space="preserve">:  
Complete the worksheet below as follows: 
(1) Use the </t>
    </r>
    <r>
      <rPr>
        <u/>
        <sz val="11"/>
        <rFont val="Segoe UI"/>
        <family val="2"/>
      </rPr>
      <t>Overtime Threshold (hours)</t>
    </r>
    <r>
      <rPr>
        <sz val="11"/>
        <rFont val="Segoe UI"/>
        <family val="2"/>
      </rPr>
      <t xml:space="preserve"> to calculate </t>
    </r>
    <r>
      <rPr>
        <u/>
        <sz val="11"/>
        <rFont val="Segoe UI"/>
        <family val="2"/>
      </rPr>
      <t>Regular Pay</t>
    </r>
    <r>
      <rPr>
        <sz val="11"/>
        <rFont val="Segoe UI"/>
        <family val="2"/>
      </rPr>
      <t xml:space="preserve">.
(2) Use the </t>
    </r>
    <r>
      <rPr>
        <u/>
        <sz val="11"/>
        <rFont val="Segoe UI"/>
        <family val="2"/>
      </rPr>
      <t>Overtime Rate</t>
    </r>
    <r>
      <rPr>
        <sz val="11"/>
        <rFont val="Segoe UI"/>
        <family val="2"/>
      </rPr>
      <t xml:space="preserve"> to calculate </t>
    </r>
    <r>
      <rPr>
        <u/>
        <sz val="11"/>
        <rFont val="Segoe UI"/>
        <family val="2"/>
      </rPr>
      <t>Overtime Pay</t>
    </r>
    <r>
      <rPr>
        <sz val="11"/>
        <rFont val="Segoe UI"/>
        <family val="2"/>
      </rPr>
      <t xml:space="preserve">. Overtime is pay for all hours over the </t>
    </r>
    <r>
      <rPr>
        <u/>
        <sz val="11"/>
        <rFont val="Segoe UI"/>
        <family val="2"/>
      </rPr>
      <t>Overtime Threshold (hours)</t>
    </r>
    <r>
      <rPr>
        <sz val="11"/>
        <rFont val="Segoe UI"/>
        <family val="2"/>
      </rPr>
      <t xml:space="preserve">.
(3) Calculate </t>
    </r>
    <r>
      <rPr>
        <u/>
        <sz val="11"/>
        <rFont val="Segoe UI"/>
        <family val="2"/>
      </rPr>
      <t>Gross Pay</t>
    </r>
    <r>
      <rPr>
        <sz val="11"/>
        <rFont val="Segoe UI"/>
        <family val="2"/>
      </rPr>
      <t xml:space="preserve"> which is the sum of the </t>
    </r>
    <r>
      <rPr>
        <u/>
        <sz val="11"/>
        <rFont val="Segoe UI"/>
        <family val="2"/>
      </rPr>
      <t>Regular Pay</t>
    </r>
    <r>
      <rPr>
        <sz val="11"/>
        <rFont val="Segoe UI"/>
        <family val="2"/>
      </rPr>
      <t xml:space="preserve"> and the </t>
    </r>
    <r>
      <rPr>
        <u/>
        <sz val="11"/>
        <rFont val="Segoe UI"/>
        <family val="2"/>
      </rPr>
      <t>Overtime Pay</t>
    </r>
    <r>
      <rPr>
        <sz val="11"/>
        <rFont val="Segoe UI"/>
        <family val="2"/>
      </rPr>
      <t xml:space="preserve">.
(4) Calculate </t>
    </r>
    <r>
      <rPr>
        <u/>
        <sz val="11"/>
        <rFont val="Segoe UI"/>
        <family val="2"/>
      </rPr>
      <t>Taxable Pay</t>
    </r>
    <r>
      <rPr>
        <sz val="11"/>
        <rFont val="Segoe UI"/>
        <family val="2"/>
      </rPr>
      <t xml:space="preserve"> which is </t>
    </r>
    <r>
      <rPr>
        <u/>
        <sz val="11"/>
        <rFont val="Segoe UI"/>
        <family val="2"/>
      </rPr>
      <t>Gross Pay</t>
    </r>
    <r>
      <rPr>
        <sz val="11"/>
        <rFont val="Segoe UI"/>
        <family val="2"/>
      </rPr>
      <t xml:space="preserve"> minus (</t>
    </r>
    <r>
      <rPr>
        <u/>
        <sz val="11"/>
        <rFont val="Segoe UI"/>
        <family val="2"/>
      </rPr>
      <t>Deduction Per Dependent</t>
    </r>
    <r>
      <rPr>
        <sz val="11"/>
        <rFont val="Segoe UI"/>
        <family val="2"/>
      </rPr>
      <t xml:space="preserve"> times the </t>
    </r>
    <r>
      <rPr>
        <u/>
        <sz val="11"/>
        <rFont val="Segoe UI"/>
        <family val="2"/>
      </rPr>
      <t>Number of Dependents</t>
    </r>
    <r>
      <rPr>
        <sz val="11"/>
        <rFont val="Segoe UI"/>
        <family val="2"/>
      </rPr>
      <t xml:space="preserve">).
(5) Calculate </t>
    </r>
    <r>
      <rPr>
        <u/>
        <sz val="11"/>
        <rFont val="Segoe UI"/>
        <family val="2"/>
      </rPr>
      <t>Withholding Tax</t>
    </r>
    <r>
      <rPr>
        <sz val="11"/>
        <rFont val="Segoe UI"/>
        <family val="2"/>
      </rPr>
      <t xml:space="preserve"> which is based on the</t>
    </r>
    <r>
      <rPr>
        <u/>
        <sz val="11"/>
        <rFont val="Segoe UI"/>
        <family val="2"/>
      </rPr>
      <t xml:space="preserve"> Taxable Pay</t>
    </r>
    <r>
      <rPr>
        <sz val="11"/>
        <rFont val="Segoe UI"/>
        <family val="2"/>
      </rPr>
      <t xml:space="preserve"> and the Tax Table (H15:I19).  Use a lookup function to determine the tax rate, then multiply it by the</t>
    </r>
    <r>
      <rPr>
        <u/>
        <sz val="11"/>
        <rFont val="Segoe UI"/>
        <family val="2"/>
      </rPr>
      <t xml:space="preserve"> Taxable Pay</t>
    </r>
    <r>
      <rPr>
        <sz val="11"/>
        <rFont val="Segoe UI"/>
        <family val="2"/>
      </rPr>
      <t>.
(6) Calculate</t>
    </r>
    <r>
      <rPr>
        <u/>
        <sz val="11"/>
        <rFont val="Segoe UI"/>
        <family val="2"/>
      </rPr>
      <t xml:space="preserve"> Social Security Tax</t>
    </r>
    <r>
      <rPr>
        <sz val="11"/>
        <rFont val="Segoe UI"/>
        <family val="2"/>
      </rPr>
      <t xml:space="preserve"> which is a fixed percentage (cell C18) of </t>
    </r>
    <r>
      <rPr>
        <u/>
        <sz val="11"/>
        <rFont val="Segoe UI"/>
        <family val="2"/>
      </rPr>
      <t>Gross Pay</t>
    </r>
    <r>
      <rPr>
        <sz val="11"/>
        <rFont val="Segoe UI"/>
        <family val="2"/>
      </rPr>
      <t xml:space="preserve">.
(7) Calculate </t>
    </r>
    <r>
      <rPr>
        <u/>
        <sz val="11"/>
        <rFont val="Segoe UI"/>
        <family val="2"/>
      </rPr>
      <t>Net Pay</t>
    </r>
    <r>
      <rPr>
        <sz val="11"/>
        <rFont val="Segoe UI"/>
        <family val="2"/>
      </rPr>
      <t xml:space="preserve"> which is the </t>
    </r>
    <r>
      <rPr>
        <u/>
        <sz val="11"/>
        <rFont val="Segoe UI"/>
        <family val="2"/>
      </rPr>
      <t>Gross Pay</t>
    </r>
    <r>
      <rPr>
        <sz val="11"/>
        <rFont val="Segoe UI"/>
        <family val="2"/>
      </rPr>
      <t xml:space="preserve"> minus the </t>
    </r>
    <r>
      <rPr>
        <u/>
        <sz val="11"/>
        <rFont val="Segoe UI"/>
        <family val="2"/>
      </rPr>
      <t xml:space="preserve">Withholding </t>
    </r>
    <r>
      <rPr>
        <sz val="11"/>
        <rFont val="Segoe UI"/>
        <family val="2"/>
      </rPr>
      <t xml:space="preserve">and </t>
    </r>
    <r>
      <rPr>
        <u/>
        <sz val="11"/>
        <rFont val="Segoe UI"/>
        <family val="2"/>
      </rPr>
      <t>Social Security Taxes</t>
    </r>
    <r>
      <rPr>
        <sz val="11"/>
        <rFont val="Segoe UI"/>
        <family val="2"/>
      </rPr>
      <t>.
(8) Enter formulas in F12:L12 to calculate the totals.
Make sure to make careful use of relative and absolute references and use the Fill-Down (or Fill-Over) feature whenever possible.  If you use these features properly you should have to write formulas in only 8 cells (and then be able to Fill-Down or Fill-Across to complete the remaining cells).</t>
    </r>
  </si>
  <si>
    <t>Rain-Thunderstorm</t>
  </si>
  <si>
    <t>Meterological Phenomena</t>
  </si>
  <si>
    <t>Mean Humidity
(%)</t>
  </si>
  <si>
    <t>What was the mean low temperature for the first half of the month (i.e., days 1-15)? (rounded to the nearest tenth)</t>
  </si>
  <si>
    <t>What was the mean wind speed for the second half of the month (i.e., days 16-30)? (rounded to the nearest tenth)</t>
  </si>
  <si>
    <t>How many days were between the highest mean humidity and the lowest mean humidty?</t>
  </si>
  <si>
    <t>What meterological phenomena occurred on the day that had the highest wind speed?</t>
  </si>
  <si>
    <r>
      <rPr>
        <b/>
        <u/>
        <sz val="11"/>
        <rFont val="Calibri"/>
        <family val="2"/>
      </rPr>
      <t xml:space="preserve">Instructions:  
</t>
    </r>
    <r>
      <rPr>
        <sz val="11"/>
        <rFont val="Calibri"/>
        <family val="2"/>
      </rPr>
      <t>(a) Enter a lookup formula in cell C8 that displays the Price of a ticket based on the Age and Ticket Location entered by a person in C6 and C7, respectively.
(b) Enter a lookup formula in cell C9 that displays the Price of a ticket based on the Age and Ticket Location entered by a person in C6 and C7, respectively and will</t>
    </r>
    <r>
      <rPr>
        <b/>
        <sz val="11"/>
        <rFont val="Calibri"/>
        <family val="2"/>
      </rPr>
      <t xml:space="preserve"> dispay an appropriate error message if the person enters an invalid Ticket Location in cell C7 or an invalid age in celL C6.</t>
    </r>
    <r>
      <rPr>
        <sz val="11"/>
        <rFont val="Calibri"/>
        <family val="2"/>
      </rPr>
      <t xml:space="preserve">  </t>
    </r>
    <r>
      <rPr>
        <i/>
        <sz val="11"/>
        <rFont val="Calibri"/>
        <family val="2"/>
      </rPr>
      <t>Hint: Use the ISNA function.</t>
    </r>
  </si>
  <si>
    <t>Question #</t>
  </si>
  <si>
    <t>Your formulas go</t>
  </si>
  <si>
    <t>KY Sales Tax (6%):</t>
  </si>
  <si>
    <r>
      <rPr>
        <b/>
        <u/>
        <sz val="12"/>
        <rFont val="Segoe UI"/>
        <family val="2"/>
      </rPr>
      <t>Instructions</t>
    </r>
    <r>
      <rPr>
        <sz val="12"/>
        <rFont val="Segoe UI"/>
        <family val="2"/>
      </rPr>
      <t>:  
Review the Price Quote Table, Price Table, and Discount Table below.  Create a series of formulas that will calculate the Total Due from the Item and Quantity entered in cells C6 and C7, repsectively.  In your worksheet you should do the following: 
(1) Enter a formula in cell C9 that looks up the item name (in cell C6) in the Price Table to find the Unit Price.
(2) Enter a formula in cell C10 that calculates the Total Before Discount (i.e., Unit Price * Quantity). 
(3) Enter a formula in C11 that looks up the Total Before Discount in the Discount Table to find the Discount % and show the result in the Percentage number format.
(4) Enter formulas in C12, C13, C14, and C16 that calculate the Discount Amount, the Total After Discount, the KY Sales Tax (based on a 6% sales tax rate), and the final Total Due for the order, respectively.
(5) Round the Discount Amount and Sales Tax values to the nearest penny.</t>
    </r>
  </si>
  <si>
    <r>
      <rPr>
        <b/>
        <u/>
        <sz val="12"/>
        <rFont val="Segoe UI"/>
        <family val="2"/>
      </rPr>
      <t>Instructions</t>
    </r>
    <r>
      <rPr>
        <sz val="12"/>
        <rFont val="Segoe UI"/>
        <family val="2"/>
      </rPr>
      <t>:  
Review the Price Quote Table, Price Table, and Discount Table below.  Create a series of formulas that will calculate the Total Due from the Item and Quantity entered in cells C6 and C7, repsectively.  In your worksheet you should do the following: 
(1) Enter a formula in cell C9 that looks up the item name (in cell C6) in the Price Table to find the Unit Price.
(2) Enter a formula in cell C10 that calculates the Total Before Discount (i.e., Unit Price * Quantity). 
(3) Enter a formula in C11 that looks up the Total Before Discount in the Discount Table to find the Discount % and show the result in the Percentage number format.
(4) Enter formulas in C12, C13, C14, and C16 that calculate the Discount Amount, the Total After Discount, the KY Sales Tax (based on a 6% sales tax rate), and the final Total Due for the order, respectively.
(5)  Round the Discount Amount and Sales Tax values to the nearest penny.</t>
    </r>
  </si>
  <si>
    <t xml:space="preserve"> KY Sales tax %:</t>
  </si>
  <si>
    <r>
      <rPr>
        <b/>
        <u/>
        <sz val="12"/>
        <rFont val="Segoe UI"/>
        <family val="2"/>
      </rPr>
      <t>Instructions</t>
    </r>
    <r>
      <rPr>
        <sz val="12"/>
        <rFont val="Segoe UI"/>
        <family val="2"/>
      </rPr>
      <t>:  
Review the Allied Student Cell Phone Table, Charge Table, and Assumptions Table.  According to the Charge Table, on the Allied Student Cell Phone Plan:  
(1) If you use less than 600 minutes in a month, you must pay $29.99 in usage charge.
(2) If you use between 600 and 1,500 minutes, you pay $39.99 plus $0.15 per minute for each minute over the minimum in usage charge.
(3) If you use more than 1,500 minutes, you pay $49.99 plus $0.05 per minute for each minute over the minimum in usage charge. 
In addition, the processing charge per month and sales tax percentage must be applied as listed in the Assumptions Table.
Enter formulas in the Allied Student Cell Phone Table that allows a person to enter the minutes used (in cells C6:E6) and then calculate the usage charges, the processing charge, the tax amount, the total charge, and the average cost per minute.</t>
    </r>
  </si>
  <si>
    <r>
      <rPr>
        <b/>
        <u/>
        <sz val="11"/>
        <rFont val="Segoe UI"/>
        <family val="2"/>
      </rPr>
      <t>Instructions</t>
    </r>
    <r>
      <rPr>
        <sz val="11"/>
        <rFont val="Segoe UI"/>
        <family val="2"/>
      </rPr>
      <t xml:space="preserve">:  
Complete the worksheet below as follows: 
(1) The </t>
    </r>
    <r>
      <rPr>
        <u/>
        <sz val="11"/>
        <rFont val="Segoe UI"/>
        <family val="2"/>
      </rPr>
      <t>Base Fuel</t>
    </r>
    <r>
      <rPr>
        <sz val="11"/>
        <rFont val="Segoe UI"/>
        <family val="2"/>
      </rPr>
      <t xml:space="preserve"> (in pounds) for each flight depends on the </t>
    </r>
    <r>
      <rPr>
        <u/>
        <sz val="11"/>
        <rFont val="Segoe UI"/>
        <family val="2"/>
      </rPr>
      <t>Aircraft Type</t>
    </r>
    <r>
      <rPr>
        <sz val="11"/>
        <rFont val="Segoe UI"/>
        <family val="2"/>
      </rPr>
      <t xml:space="preserve"> and the number of</t>
    </r>
    <r>
      <rPr>
        <u/>
        <sz val="11"/>
        <rFont val="Segoe UI"/>
        <family val="2"/>
      </rPr>
      <t xml:space="preserve"> Flying Hours</t>
    </r>
    <r>
      <rPr>
        <sz val="11"/>
        <rFont val="Segoe UI"/>
        <family val="2"/>
      </rPr>
      <t xml:space="preserve">.  Use a lookup function in the formula to determine the pounds required per hour based on the </t>
    </r>
    <r>
      <rPr>
        <u/>
        <sz val="11"/>
        <rFont val="Segoe UI"/>
        <family val="2"/>
      </rPr>
      <t>Aircraft Type</t>
    </r>
    <r>
      <rPr>
        <sz val="11"/>
        <rFont val="Segoe UI"/>
        <family val="2"/>
      </rPr>
      <t xml:space="preserve"> then multiply the result by the number of </t>
    </r>
    <r>
      <rPr>
        <u/>
        <sz val="11"/>
        <rFont val="Segoe UI"/>
        <family val="2"/>
      </rPr>
      <t>Flying Hours</t>
    </r>
    <r>
      <rPr>
        <sz val="11"/>
        <rFont val="Segoe UI"/>
        <family val="2"/>
      </rPr>
      <t xml:space="preserve"> to calculate the amount of </t>
    </r>
    <r>
      <rPr>
        <u/>
        <sz val="11"/>
        <rFont val="Segoe UI"/>
        <family val="2"/>
      </rPr>
      <t>Base Fuel</t>
    </r>
    <r>
      <rPr>
        <sz val="11"/>
        <rFont val="Segoe UI"/>
        <family val="2"/>
      </rPr>
      <t xml:space="preserve"> for each flight.
(2) </t>
    </r>
    <r>
      <rPr>
        <u/>
        <sz val="11"/>
        <rFont val="Segoe UI"/>
        <family val="2"/>
      </rPr>
      <t>Reserve Fuel</t>
    </r>
    <r>
      <rPr>
        <sz val="11"/>
        <rFont val="Segoe UI"/>
        <family val="2"/>
      </rPr>
      <t xml:space="preserve"> is equal to the </t>
    </r>
    <r>
      <rPr>
        <u/>
        <sz val="11"/>
        <rFont val="Segoe UI"/>
        <family val="2"/>
      </rPr>
      <t>Base Fuel</t>
    </r>
    <r>
      <rPr>
        <sz val="11"/>
        <rFont val="Segoe UI"/>
        <family val="2"/>
      </rPr>
      <t xml:space="preserve"> times the </t>
    </r>
    <r>
      <rPr>
        <u/>
        <sz val="11"/>
        <rFont val="Segoe UI"/>
        <family val="2"/>
      </rPr>
      <t>Percent of flying fuel required for reserves</t>
    </r>
    <r>
      <rPr>
        <sz val="11"/>
        <rFont val="Segoe UI"/>
        <family val="2"/>
      </rPr>
      <t xml:space="preserve">. </t>
    </r>
    <r>
      <rPr>
        <i/>
        <sz val="11"/>
        <rFont val="Segoe UI"/>
        <family val="2"/>
      </rPr>
      <t>Rounded to the nearest integer!</t>
    </r>
    <r>
      <rPr>
        <sz val="11"/>
        <rFont val="Segoe UI"/>
        <family val="2"/>
      </rPr>
      <t xml:space="preserve">
(3) </t>
    </r>
    <r>
      <rPr>
        <u/>
        <sz val="11"/>
        <rFont val="Segoe UI"/>
        <family val="2"/>
      </rPr>
      <t>Holding Fuel</t>
    </r>
    <r>
      <rPr>
        <sz val="11"/>
        <rFont val="Segoe UI"/>
        <family val="2"/>
      </rPr>
      <t xml:space="preserve"> is equal to the </t>
    </r>
    <r>
      <rPr>
        <u/>
        <sz val="11"/>
        <rFont val="Segoe UI"/>
        <family val="2"/>
      </rPr>
      <t>Base Fuel</t>
    </r>
    <r>
      <rPr>
        <sz val="11"/>
        <rFont val="Segoe UI"/>
        <family val="2"/>
      </rPr>
      <t xml:space="preserve"> times the </t>
    </r>
    <r>
      <rPr>
        <u/>
        <sz val="11"/>
        <rFont val="Segoe UI"/>
        <family val="2"/>
      </rPr>
      <t>Percent of flying fuel required for holding</t>
    </r>
    <r>
      <rPr>
        <sz val="11"/>
        <rFont val="Segoe UI"/>
        <family val="2"/>
      </rPr>
      <t xml:space="preserve">. </t>
    </r>
    <r>
      <rPr>
        <i/>
        <sz val="11"/>
        <rFont val="Segoe UI"/>
        <family val="2"/>
      </rPr>
      <t>Rounded to the nearest integer!</t>
    </r>
    <r>
      <rPr>
        <sz val="11"/>
        <rFont val="Segoe UI"/>
        <family val="2"/>
      </rPr>
      <t xml:space="preserve">
(4) </t>
    </r>
    <r>
      <rPr>
        <u/>
        <sz val="11"/>
        <rFont val="Segoe UI"/>
        <family val="2"/>
      </rPr>
      <t>Total Fuel</t>
    </r>
    <r>
      <rPr>
        <sz val="11"/>
        <rFont val="Segoe UI"/>
        <family val="2"/>
      </rPr>
      <t xml:space="preserve"> is the sum of the </t>
    </r>
    <r>
      <rPr>
        <u/>
        <sz val="11"/>
        <rFont val="Segoe UI"/>
        <family val="2"/>
      </rPr>
      <t>Base Fuel</t>
    </r>
    <r>
      <rPr>
        <sz val="11"/>
        <rFont val="Segoe UI"/>
        <family val="2"/>
      </rPr>
      <t xml:space="preserve">, the </t>
    </r>
    <r>
      <rPr>
        <u/>
        <sz val="11"/>
        <rFont val="Segoe UI"/>
        <family val="2"/>
      </rPr>
      <t>Reserve Fuel</t>
    </r>
    <r>
      <rPr>
        <sz val="11"/>
        <rFont val="Segoe UI"/>
        <family val="2"/>
      </rPr>
      <t xml:space="preserve">, and the </t>
    </r>
    <r>
      <rPr>
        <u/>
        <sz val="11"/>
        <rFont val="Segoe UI"/>
        <family val="2"/>
      </rPr>
      <t>Holding Fuel</t>
    </r>
    <r>
      <rPr>
        <sz val="11"/>
        <rFont val="Segoe UI"/>
        <family val="2"/>
      </rPr>
      <t xml:space="preserve">.
(5) The estimated fuel </t>
    </r>
    <r>
      <rPr>
        <u/>
        <sz val="11"/>
        <rFont val="Segoe UI"/>
        <family val="2"/>
      </rPr>
      <t>Cost</t>
    </r>
    <r>
      <rPr>
        <sz val="11"/>
        <rFont val="Segoe UI"/>
        <family val="2"/>
      </rPr>
      <t xml:space="preserve"> for each flight is the </t>
    </r>
    <r>
      <rPr>
        <u/>
        <sz val="11"/>
        <rFont val="Segoe UI"/>
        <family val="2"/>
      </rPr>
      <t>Total Fuel</t>
    </r>
    <r>
      <rPr>
        <sz val="11"/>
        <rFont val="Segoe UI"/>
        <family val="2"/>
      </rPr>
      <t xml:space="preserve"> times the </t>
    </r>
    <r>
      <rPr>
        <u/>
        <sz val="11"/>
        <rFont val="Segoe UI"/>
        <family val="2"/>
      </rPr>
      <t>Price per Pound</t>
    </r>
    <r>
      <rPr>
        <sz val="11"/>
        <rFont val="Segoe UI"/>
        <family val="2"/>
      </rPr>
      <t xml:space="preserve">.  However there is a price break if the </t>
    </r>
    <r>
      <rPr>
        <u/>
        <sz val="11"/>
        <rFont val="Segoe UI"/>
        <family val="2"/>
      </rPr>
      <t>Base Fuel</t>
    </r>
    <r>
      <rPr>
        <sz val="11"/>
        <rFont val="Segoe UI"/>
        <family val="2"/>
      </rPr>
      <t xml:space="preserve"> reaches or exceeds a </t>
    </r>
    <r>
      <rPr>
        <u/>
        <sz val="11"/>
        <rFont val="Segoe UI"/>
        <family val="2"/>
      </rPr>
      <t>Threshold number of pounds for price break</t>
    </r>
    <r>
      <rPr>
        <sz val="11"/>
        <rFont val="Segoe UI"/>
        <family val="2"/>
      </rPr>
      <t>.
(6) Enter formulas in E12:I14 that calculate the appropriate statistics.
Make sure to make careful use of relative and absolute references and use the Fill-Down (or Fill-Over) feature whenever possible.  If you use these features properly you should have to write formulas in only 8 cells (and then be able to Fill-Down or Fill-Across to comlete the remaining cells).</t>
    </r>
  </si>
  <si>
    <t>Base Fuel</t>
  </si>
  <si>
    <t>Rain-Snow</t>
  </si>
  <si>
    <t>What was the mean high temperature in March? (rounded to the nearest tenth)</t>
  </si>
  <si>
    <t>What was the highest temperature recorded for any day in March?</t>
  </si>
  <si>
    <t>What was the 7th highest temperature recorded for any day in March?</t>
  </si>
  <si>
    <t>What was the 4th lowest temperature recorded for any day in March?</t>
  </si>
  <si>
    <t>What was the high temperature on March 17th?</t>
  </si>
  <si>
    <t>What was the low temperature on March 30th?</t>
  </si>
  <si>
    <t>What type of meterological phenomena occured on March 24th? (If none occurred, your formula should produce the word "None")</t>
  </si>
  <si>
    <t>What type of meterological phenomena occurred on March 16th?</t>
  </si>
  <si>
    <t>Which day in March had the lowest high temperature?</t>
  </si>
  <si>
    <t>What day in March had the highest low temperature?</t>
  </si>
  <si>
    <t>How many days in March had no recorded weather phenomena?</t>
  </si>
  <si>
    <t>What was the mean temperature for all of the days in March that had any kind of Rain precipitation? (rounded to the nearest tenth)</t>
  </si>
  <si>
    <t>Temperature Statistics
March 2006 - Louisville, KY</t>
  </si>
  <si>
    <t>How many days in March experienced Thunderstorms?</t>
  </si>
  <si>
    <t>How many days in March had a high temperature of at least 60°?</t>
  </si>
  <si>
    <t>How many days in March had a low temperature less than 40°?</t>
  </si>
  <si>
    <t>How many days in March had a maximum temperature between 45° and 52°? (inclusive)</t>
  </si>
  <si>
    <t>Instructions:  
Review the Temperature Statistics table for March 2006 below.  Write formulas (in cells K6:K28) that will answer the questions listed in cells M6:M28.  State all numeric values as whole numbers unless directed otherwise.</t>
  </si>
  <si>
    <t>Lab Activity Participants</t>
  </si>
  <si>
    <t>Grading Symbols</t>
  </si>
  <si>
    <t>Formula correct</t>
  </si>
  <si>
    <t>Formula incorrect</t>
  </si>
  <si>
    <t>Lab Activity #3</t>
  </si>
  <si>
    <r>
      <rPr>
        <b/>
        <u/>
        <sz val="12"/>
        <rFont val="Segoe UI"/>
        <family val="2"/>
      </rPr>
      <t>Instructions</t>
    </r>
    <r>
      <rPr>
        <sz val="12"/>
        <rFont val="Segoe UI"/>
        <family val="2"/>
      </rPr>
      <t>:  
Review the Price Quote Table, Price Table, and Discount Table below.  Create a series of formulas (similar to those created in previous parts) to complete the worksheet that will allow for multiple items.  The Discount should be applied to the total amount for the order.</t>
    </r>
  </si>
  <si>
    <t>Gregorio</t>
  </si>
  <si>
    <t>Pedro</t>
  </si>
  <si>
    <t>Davis</t>
  </si>
  <si>
    <t>Brittany</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</si>
</sst>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00"/>
    <numFmt numFmtId="165" formatCode="0.0"/>
    <numFmt numFmtId="166" formatCode="&quot;$&quot;#,##0"/>
    <numFmt numFmtId="167" formatCode="_(* #,##0.0_);_(* \(#,##0.0\);_(* &quot;-&quot;?_);_(@_)"/>
    <numFmt numFmtId="168" formatCode="00"/>
  </numFmts>
  <fonts count="29" x14ac:knownFonts="1">
    <font>
      <sz val="10"/>
      <name val="Arial"/>
    </font>
    <font>
      <sz val="10"/>
      <name val="Arial"/>
      <family val="2"/>
    </font>
    <font>
      <sz val="8"/>
      <name val="Arial"/>
      <family val="2"/>
    </font>
    <font>
      <sz val="10"/>
      <name val="Arial"/>
      <family val="2"/>
    </font>
    <font>
      <sz val="11"/>
      <name val="Calibri"/>
      <family val="2"/>
    </font>
    <font>
      <b/>
      <u/>
      <sz val="11"/>
      <name val="Calibri"/>
      <family val="2"/>
    </font>
    <font>
      <b/>
      <sz val="11"/>
      <name val="Calibri"/>
      <family val="2"/>
      <scheme val="minor"/>
    </font>
    <font>
      <sz val="11"/>
      <name val="Calibri"/>
      <family val="2"/>
      <scheme val="minor"/>
    </font>
    <font>
      <b/>
      <sz val="11"/>
      <color rgb="FFFF0000"/>
      <name val="Calibri"/>
      <family val="2"/>
      <scheme val="minor"/>
    </font>
    <font>
      <sz val="11"/>
      <color rgb="FF006100"/>
      <name val="Segoe UI"/>
      <family val="2"/>
    </font>
    <font>
      <sz val="11"/>
      <color theme="0"/>
      <name val="Segoe UI"/>
      <family val="2"/>
    </font>
    <font>
      <b/>
      <sz val="11"/>
      <name val="Segoe UI"/>
      <family val="2"/>
    </font>
    <font>
      <b/>
      <sz val="11"/>
      <name val="Calibri"/>
      <family val="2"/>
    </font>
    <font>
      <sz val="11"/>
      <name val="Segoe UI"/>
      <family val="2"/>
    </font>
    <font>
      <b/>
      <sz val="11"/>
      <color rgb="FFFF0000"/>
      <name val="Segoe UI"/>
      <family val="2"/>
    </font>
    <font>
      <b/>
      <sz val="12"/>
      <name val="Segoe UI"/>
      <family val="2"/>
    </font>
    <font>
      <b/>
      <u/>
      <sz val="11"/>
      <name val="Segoe UI"/>
      <family val="2"/>
    </font>
    <font>
      <sz val="12"/>
      <name val="Segoe UI"/>
      <family val="2"/>
    </font>
    <font>
      <sz val="10"/>
      <name val="Segoe UI"/>
      <family val="2"/>
    </font>
    <font>
      <b/>
      <u/>
      <sz val="12"/>
      <name val="Segoe UI"/>
      <family val="2"/>
    </font>
    <font>
      <b/>
      <sz val="11"/>
      <color rgb="FF006100"/>
      <name val="Segoe UI"/>
      <family val="2"/>
    </font>
    <font>
      <i/>
      <sz val="11"/>
      <name val="Calibri"/>
      <family val="2"/>
    </font>
    <font>
      <b/>
      <sz val="10"/>
      <name val="Segoe UI"/>
      <family val="2"/>
    </font>
    <font>
      <u/>
      <sz val="11"/>
      <name val="Segoe UI"/>
      <family val="2"/>
    </font>
    <font>
      <b/>
      <sz val="18"/>
      <color rgb="FF006100"/>
      <name val="Segoe UI"/>
      <family val="2"/>
    </font>
    <font>
      <i/>
      <sz val="11"/>
      <name val="Segoe UI"/>
      <family val="2"/>
    </font>
    <font>
      <b/>
      <sz val="16"/>
      <name val="Segoe UI"/>
      <family val="2"/>
    </font>
    <font>
      <i/>
      <sz val="10"/>
      <name val="Segoe UI"/>
      <family val="2"/>
    </font>
    <font>
      <sz val="14"/>
      <name val="Segoe UI"/>
      <family val="2"/>
    </font>
  </fonts>
  <fills count="26">
    <fill>
      <patternFill patternType="none"/>
    </fill>
    <fill>
      <patternFill patternType="gray125"/>
    </fill>
    <fill>
      <patternFill patternType="solid">
        <fgColor indexed="51"/>
        <bgColor indexed="64"/>
      </patternFill>
    </fill>
    <fill>
      <patternFill patternType="solid">
        <fgColor indexed="43"/>
        <bgColor indexed="64"/>
      </patternFill>
    </fill>
    <fill>
      <patternFill patternType="solid">
        <fgColor theme="0"/>
        <bgColor indexed="64"/>
      </patternFill>
    </fill>
    <fill>
      <patternFill patternType="solid">
        <fgColor theme="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C6EFCE"/>
      </patternFill>
    </fill>
    <fill>
      <patternFill patternType="solid">
        <fgColor theme="5" tint="0.59999389629810485"/>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rgb="FFF7B7F4"/>
        <bgColor indexed="64"/>
      </patternFill>
    </fill>
    <fill>
      <patternFill patternType="solid">
        <fgColor rgb="FF4CCC64"/>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FFCC"/>
        <bgColor indexed="64"/>
      </patternFill>
    </fill>
    <fill>
      <patternFill patternType="solid">
        <fgColor rgb="FFCCECFF"/>
        <bgColor indexed="64"/>
      </patternFill>
    </fill>
  </fills>
  <borders count="61">
    <border>
      <left/>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right style="medium">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s>
  <cellStyleXfs count="6">
    <xf numFmtId="0" fontId="0" fillId="0" borderId="0"/>
    <xf numFmtId="44" fontId="1" fillId="0" borderId="0" applyFont="0" applyFill="0" applyBorder="0" applyAlignment="0" applyProtection="0"/>
    <xf numFmtId="0" fontId="3" fillId="0" borderId="0"/>
    <xf numFmtId="9" fontId="1" fillId="0" borderId="0" applyFont="0" applyFill="0" applyBorder="0" applyAlignment="0" applyProtection="0"/>
    <xf numFmtId="0" fontId="1" fillId="0" borderId="0"/>
    <xf numFmtId="0" fontId="9" fillId="12" borderId="0" applyNumberFormat="0" applyBorder="0" applyAlignment="0" applyProtection="0"/>
  </cellStyleXfs>
  <cellXfs count="513">
    <xf numFmtId="0" fontId="0" fillId="0" borderId="0" xfId="0"/>
    <xf numFmtId="0" fontId="6" fillId="0" borderId="0" xfId="0" applyFont="1"/>
    <xf numFmtId="0" fontId="7" fillId="0" borderId="0" xfId="0" applyFont="1"/>
    <xf numFmtId="0" fontId="7" fillId="0" borderId="0" xfId="0" applyFont="1" applyAlignment="1">
      <alignment wrapText="1"/>
    </xf>
    <xf numFmtId="0" fontId="6" fillId="0" borderId="0" xfId="0" applyFont="1" applyAlignment="1">
      <alignment horizontal="right"/>
    </xf>
    <xf numFmtId="0" fontId="6" fillId="0" borderId="19" xfId="0" applyFont="1" applyBorder="1" applyAlignment="1">
      <alignment horizontal="right"/>
    </xf>
    <xf numFmtId="0" fontId="6" fillId="0" borderId="5" xfId="0" applyFont="1" applyBorder="1" applyAlignment="1">
      <alignment horizontal="right"/>
    </xf>
    <xf numFmtId="0" fontId="6" fillId="0" borderId="7" xfId="0" applyFont="1" applyBorder="1" applyAlignment="1">
      <alignment horizontal="right"/>
    </xf>
    <xf numFmtId="0" fontId="13" fillId="0" borderId="0" xfId="0" applyFont="1"/>
    <xf numFmtId="0" fontId="11" fillId="0" borderId="0" xfId="0" applyFont="1" applyProtection="1"/>
    <xf numFmtId="0" fontId="13" fillId="0" borderId="0" xfId="0" applyFont="1" applyProtection="1"/>
    <xf numFmtId="0" fontId="13" fillId="0" borderId="0" xfId="0" applyFont="1" applyAlignment="1" applyProtection="1">
      <alignment horizontal="center"/>
    </xf>
    <xf numFmtId="0" fontId="13" fillId="0" borderId="0" xfId="0" applyFont="1" applyAlignment="1" applyProtection="1">
      <alignment vertical="center" wrapText="1"/>
    </xf>
    <xf numFmtId="0" fontId="13" fillId="0" borderId="0" xfId="0" applyNumberFormat="1" applyFont="1" applyProtection="1"/>
    <xf numFmtId="0" fontId="13" fillId="0" borderId="0" xfId="0" applyFont="1" applyAlignment="1" applyProtection="1">
      <alignment horizontal="center" vertical="center" wrapText="1"/>
    </xf>
    <xf numFmtId="0" fontId="14" fillId="0" borderId="0" xfId="0" applyFont="1" applyProtection="1"/>
    <xf numFmtId="0" fontId="9" fillId="12" borderId="18" xfId="5" applyFont="1" applyBorder="1" applyAlignment="1" applyProtection="1">
      <alignment horizontal="center" vertical="center" wrapText="1"/>
    </xf>
    <xf numFmtId="165" fontId="13" fillId="0" borderId="0" xfId="0" applyNumberFormat="1" applyFont="1" applyAlignment="1" applyProtection="1">
      <alignment horizontal="center"/>
    </xf>
    <xf numFmtId="0" fontId="13" fillId="0" borderId="0" xfId="0" applyFont="1" applyAlignment="1" applyProtection="1">
      <alignment wrapText="1"/>
    </xf>
    <xf numFmtId="0" fontId="13" fillId="0" borderId="0" xfId="0" applyFont="1" applyAlignment="1" applyProtection="1">
      <alignment horizontal="left"/>
    </xf>
    <xf numFmtId="0" fontId="9" fillId="12" borderId="20" xfId="5" applyFont="1" applyBorder="1" applyAlignment="1" applyProtection="1">
      <alignment horizontal="center"/>
      <protection hidden="1"/>
    </xf>
    <xf numFmtId="0" fontId="9" fillId="12" borderId="23" xfId="5" applyFont="1" applyBorder="1" applyAlignment="1" applyProtection="1">
      <alignment horizontal="center"/>
      <protection hidden="1"/>
    </xf>
    <xf numFmtId="0" fontId="15" fillId="0" borderId="0" xfId="0" applyFont="1"/>
    <xf numFmtId="0" fontId="17" fillId="0" borderId="0" xfId="0" applyFont="1" applyAlignment="1">
      <alignment vertical="center" readingOrder="1"/>
    </xf>
    <xf numFmtId="0" fontId="17" fillId="0" borderId="0" xfId="0" applyFont="1"/>
    <xf numFmtId="0" fontId="18" fillId="0" borderId="0" xfId="0" applyFont="1"/>
    <xf numFmtId="0" fontId="17" fillId="0" borderId="0" xfId="0" applyFont="1" applyAlignment="1">
      <alignment horizontal="left" vertical="center" indent="1" readingOrder="1"/>
    </xf>
    <xf numFmtId="0" fontId="17" fillId="0" borderId="0" xfId="0" applyFont="1" applyAlignment="1">
      <alignment horizontal="center"/>
    </xf>
    <xf numFmtId="0" fontId="17" fillId="0" borderId="0" xfId="0" applyFont="1" applyBorder="1"/>
    <xf numFmtId="0" fontId="15" fillId="0" borderId="0" xfId="0" applyFont="1" applyAlignment="1">
      <alignment vertical="center" readingOrder="1"/>
    </xf>
    <xf numFmtId="0" fontId="17" fillId="0" borderId="0" xfId="0" applyNumberFormat="1" applyFont="1" applyAlignment="1">
      <alignment horizontal="left" vertical="center" indent="1" readingOrder="1"/>
    </xf>
    <xf numFmtId="0" fontId="17" fillId="0" borderId="0" xfId="0" applyFont="1" applyAlignment="1">
      <alignment horizontal="left" vertical="center" wrapText="1" indent="1" readingOrder="1"/>
    </xf>
    <xf numFmtId="0" fontId="15" fillId="0" borderId="19" xfId="0" applyFont="1" applyBorder="1" applyAlignment="1">
      <alignment horizontal="right" vertical="center"/>
    </xf>
    <xf numFmtId="0" fontId="17" fillId="0" borderId="11" xfId="0" applyFont="1" applyBorder="1" applyAlignment="1" applyProtection="1">
      <alignment horizontal="right" vertical="center"/>
      <protection locked="0"/>
    </xf>
    <xf numFmtId="0" fontId="15" fillId="0" borderId="7" xfId="0" applyFont="1" applyBorder="1" applyAlignment="1">
      <alignment horizontal="right" vertical="center"/>
    </xf>
    <xf numFmtId="44" fontId="17" fillId="0" borderId="11" xfId="0" applyNumberFormat="1" applyFont="1" applyBorder="1" applyAlignment="1" applyProtection="1">
      <alignment horizontal="right" vertical="center"/>
      <protection locked="0"/>
    </xf>
    <xf numFmtId="0" fontId="15" fillId="0" borderId="5" xfId="0" applyFont="1" applyBorder="1" applyAlignment="1">
      <alignment horizontal="right" vertical="center"/>
    </xf>
    <xf numFmtId="44" fontId="17" fillId="0" borderId="6" xfId="0" applyNumberFormat="1" applyFont="1" applyBorder="1" applyAlignment="1" applyProtection="1">
      <alignment horizontal="right" vertical="center"/>
      <protection locked="0"/>
    </xf>
    <xf numFmtId="44" fontId="17" fillId="0" borderId="8" xfId="0" applyNumberFormat="1" applyFont="1" applyBorder="1" applyAlignment="1" applyProtection="1">
      <alignment horizontal="right" vertical="center"/>
      <protection locked="0"/>
    </xf>
    <xf numFmtId="0" fontId="15" fillId="0" borderId="1" xfId="0" applyFont="1" applyBorder="1" applyAlignment="1">
      <alignment horizontal="right" vertical="center"/>
    </xf>
    <xf numFmtId="44" fontId="17" fillId="0" borderId="2" xfId="0" applyNumberFormat="1" applyFont="1" applyBorder="1" applyAlignment="1" applyProtection="1">
      <alignment horizontal="right" vertical="center"/>
      <protection locked="0"/>
    </xf>
    <xf numFmtId="0" fontId="15" fillId="5" borderId="1" xfId="0" applyFont="1" applyFill="1" applyBorder="1" applyAlignment="1">
      <alignment horizontal="center" vertical="center"/>
    </xf>
    <xf numFmtId="0" fontId="15" fillId="5" borderId="2" xfId="0" applyFont="1" applyFill="1" applyBorder="1" applyAlignment="1">
      <alignment horizontal="center" vertical="center"/>
    </xf>
    <xf numFmtId="0" fontId="17" fillId="0" borderId="0" xfId="0" applyFont="1" applyAlignment="1">
      <alignment vertical="center"/>
    </xf>
    <xf numFmtId="0" fontId="20" fillId="12" borderId="18" xfId="5" applyFont="1" applyBorder="1" applyAlignment="1" applyProtection="1">
      <alignment horizontal="center" vertical="center"/>
      <protection hidden="1"/>
    </xf>
    <xf numFmtId="0" fontId="17" fillId="0" borderId="0" xfId="0" applyFont="1" applyProtection="1">
      <protection hidden="1"/>
    </xf>
    <xf numFmtId="44" fontId="9" fillId="12" borderId="20" xfId="1" applyFont="1" applyFill="1" applyBorder="1" applyProtection="1">
      <protection hidden="1"/>
    </xf>
    <xf numFmtId="44" fontId="9" fillId="12" borderId="23" xfId="5" applyNumberFormat="1" applyFont="1" applyBorder="1" applyProtection="1">
      <protection hidden="1"/>
    </xf>
    <xf numFmtId="9" fontId="9" fillId="12" borderId="23" xfId="3" applyFont="1" applyFill="1" applyBorder="1" applyProtection="1">
      <protection hidden="1"/>
    </xf>
    <xf numFmtId="44" fontId="9" fillId="12" borderId="23" xfId="1" applyFont="1" applyFill="1" applyBorder="1" applyProtection="1">
      <protection hidden="1"/>
    </xf>
    <xf numFmtId="44" fontId="9" fillId="12" borderId="21" xfId="1" applyFont="1" applyFill="1" applyBorder="1" applyProtection="1">
      <protection hidden="1"/>
    </xf>
    <xf numFmtId="44" fontId="9" fillId="12" borderId="18" xfId="5" applyNumberFormat="1" applyBorder="1" applyProtection="1">
      <protection hidden="1"/>
    </xf>
    <xf numFmtId="3" fontId="17" fillId="0" borderId="8" xfId="0" applyNumberFormat="1" applyFont="1" applyBorder="1" applyAlignment="1" applyProtection="1">
      <alignment vertical="center"/>
      <protection locked="0"/>
    </xf>
    <xf numFmtId="44" fontId="9" fillId="12" borderId="20" xfId="1" applyFont="1" applyFill="1" applyBorder="1" applyAlignment="1" applyProtection="1">
      <alignment vertical="center"/>
      <protection hidden="1"/>
    </xf>
    <xf numFmtId="44" fontId="9" fillId="12" borderId="23" xfId="5" applyNumberFormat="1" applyFont="1" applyBorder="1" applyAlignment="1" applyProtection="1">
      <alignment vertical="center"/>
      <protection hidden="1"/>
    </xf>
    <xf numFmtId="9" fontId="9" fillId="12" borderId="23" xfId="3" applyFont="1" applyFill="1" applyBorder="1" applyAlignment="1" applyProtection="1">
      <alignment vertical="center"/>
      <protection hidden="1"/>
    </xf>
    <xf numFmtId="44" fontId="9" fillId="12" borderId="23" xfId="1" applyFont="1" applyFill="1" applyBorder="1" applyAlignment="1" applyProtection="1">
      <alignment vertical="center"/>
      <protection hidden="1"/>
    </xf>
    <xf numFmtId="44" fontId="9" fillId="12" borderId="21" xfId="1" applyFont="1" applyFill="1" applyBorder="1" applyAlignment="1" applyProtection="1">
      <alignment vertical="center"/>
      <protection hidden="1"/>
    </xf>
    <xf numFmtId="44" fontId="9" fillId="12" borderId="18" xfId="5" applyNumberFormat="1" applyFont="1" applyBorder="1" applyAlignment="1" applyProtection="1">
      <alignment vertical="center"/>
      <protection hidden="1"/>
    </xf>
    <xf numFmtId="44" fontId="9" fillId="12" borderId="23" xfId="5" applyNumberFormat="1" applyBorder="1" applyAlignment="1" applyProtection="1">
      <alignment vertical="center"/>
      <protection hidden="1"/>
    </xf>
    <xf numFmtId="44" fontId="9" fillId="12" borderId="21" xfId="5" applyNumberFormat="1" applyBorder="1" applyAlignment="1" applyProtection="1">
      <alignment vertical="center"/>
      <protection hidden="1"/>
    </xf>
    <xf numFmtId="0" fontId="17" fillId="0" borderId="6" xfId="0" applyFont="1" applyBorder="1" applyAlignment="1" applyProtection="1">
      <alignment horizontal="right" vertical="center"/>
      <protection locked="0"/>
    </xf>
    <xf numFmtId="0" fontId="17" fillId="0" borderId="8" xfId="0" applyFont="1" applyBorder="1" applyAlignment="1" applyProtection="1">
      <alignment horizontal="right" vertical="center"/>
      <protection locked="0"/>
    </xf>
    <xf numFmtId="164" fontId="17" fillId="0" borderId="0" xfId="0" applyNumberFormat="1" applyFont="1"/>
    <xf numFmtId="44" fontId="9" fillId="12" borderId="23" xfId="5" applyNumberFormat="1" applyBorder="1" applyProtection="1">
      <protection hidden="1"/>
    </xf>
    <xf numFmtId="44" fontId="9" fillId="12" borderId="21" xfId="5" applyNumberFormat="1" applyBorder="1" applyProtection="1">
      <protection hidden="1"/>
    </xf>
    <xf numFmtId="0" fontId="6" fillId="5" borderId="18" xfId="0" applyFont="1" applyFill="1" applyBorder="1" applyAlignment="1">
      <alignment horizontal="center" vertical="center"/>
    </xf>
    <xf numFmtId="0" fontId="6" fillId="5" borderId="34" xfId="0" applyFont="1" applyFill="1" applyBorder="1" applyAlignment="1">
      <alignment horizontal="center" vertical="center"/>
    </xf>
    <xf numFmtId="0" fontId="7" fillId="0" borderId="20" xfId="0" applyFont="1" applyBorder="1" applyAlignment="1">
      <alignment vertical="center"/>
    </xf>
    <xf numFmtId="166" fontId="7" fillId="0" borderId="46" xfId="0" applyNumberFormat="1" applyFont="1" applyBorder="1" applyAlignment="1">
      <alignment horizontal="center" vertical="center"/>
    </xf>
    <xf numFmtId="166" fontId="7" fillId="0" borderId="20" xfId="0" applyNumberFormat="1" applyFont="1" applyBorder="1" applyAlignment="1">
      <alignment horizontal="center" vertical="center"/>
    </xf>
    <xf numFmtId="0" fontId="7" fillId="0" borderId="23" xfId="0" applyFont="1" applyBorder="1" applyAlignment="1">
      <alignment vertical="center"/>
    </xf>
    <xf numFmtId="166" fontId="7" fillId="0" borderId="47" xfId="0" applyNumberFormat="1" applyFont="1" applyBorder="1" applyAlignment="1">
      <alignment horizontal="center" vertical="center"/>
    </xf>
    <xf numFmtId="166" fontId="7" fillId="0" borderId="23" xfId="0" applyNumberFormat="1" applyFont="1" applyBorder="1" applyAlignment="1">
      <alignment horizontal="center" vertical="center"/>
    </xf>
    <xf numFmtId="0" fontId="7" fillId="0" borderId="21" xfId="0" applyFont="1" applyBorder="1" applyAlignment="1">
      <alignment vertical="center"/>
    </xf>
    <xf numFmtId="166" fontId="7" fillId="0" borderId="48" xfId="0" applyNumberFormat="1" applyFont="1" applyBorder="1" applyAlignment="1">
      <alignment horizontal="center" vertical="center"/>
    </xf>
    <xf numFmtId="166" fontId="7" fillId="0" borderId="21" xfId="0" applyNumberFormat="1" applyFont="1" applyBorder="1" applyAlignment="1">
      <alignment horizontal="center" vertical="center"/>
    </xf>
    <xf numFmtId="0" fontId="7" fillId="0" borderId="11" xfId="0" applyFont="1" applyBorder="1" applyAlignment="1" applyProtection="1">
      <alignment horizontal="center" vertical="center"/>
      <protection locked="0"/>
    </xf>
    <xf numFmtId="0" fontId="7" fillId="0" borderId="6" xfId="0" applyFont="1" applyBorder="1" applyAlignment="1" applyProtection="1">
      <alignment horizontal="center" vertical="center"/>
      <protection locked="0"/>
    </xf>
    <xf numFmtId="42" fontId="7" fillId="0" borderId="51" xfId="1" applyNumberFormat="1" applyFont="1" applyBorder="1" applyAlignment="1" applyProtection="1">
      <alignment horizontal="center" vertical="center"/>
      <protection locked="0"/>
    </xf>
    <xf numFmtId="0" fontId="22" fillId="0" borderId="0" xfId="0" applyFont="1"/>
    <xf numFmtId="0" fontId="18" fillId="4" borderId="0" xfId="0" applyFont="1" applyFill="1"/>
    <xf numFmtId="0" fontId="18" fillId="0" borderId="0" xfId="0" applyFont="1" applyAlignment="1">
      <alignment vertical="center" readingOrder="1"/>
    </xf>
    <xf numFmtId="0" fontId="18" fillId="0" borderId="0" xfId="0" applyFont="1" applyAlignment="1">
      <alignment horizontal="left" vertical="center" indent="1" readingOrder="1"/>
    </xf>
    <xf numFmtId="0" fontId="18" fillId="0" borderId="0" xfId="0" applyNumberFormat="1" applyFont="1" applyAlignment="1">
      <alignment vertical="center" readingOrder="1"/>
    </xf>
    <xf numFmtId="0" fontId="18" fillId="0" borderId="0" xfId="0" applyFont="1" applyAlignment="1">
      <alignment horizontal="left" vertical="center" wrapText="1" readingOrder="1"/>
    </xf>
    <xf numFmtId="0" fontId="11" fillId="19" borderId="1" xfId="0" applyFont="1" applyFill="1" applyBorder="1" applyAlignment="1">
      <alignment horizontal="center" vertical="center"/>
    </xf>
    <xf numFmtId="0" fontId="11" fillId="19" borderId="16" xfId="0" applyFont="1" applyFill="1" applyBorder="1" applyAlignment="1">
      <alignment horizontal="center" vertical="center"/>
    </xf>
    <xf numFmtId="0" fontId="11" fillId="19" borderId="2" xfId="0" applyFont="1" applyFill="1" applyBorder="1" applyAlignment="1">
      <alignment horizontal="center" vertical="center"/>
    </xf>
    <xf numFmtId="44" fontId="13" fillId="0" borderId="14" xfId="0" applyNumberFormat="1" applyFont="1" applyBorder="1" applyAlignment="1" applyProtection="1">
      <alignment horizontal="center" vertical="center"/>
      <protection locked="0"/>
    </xf>
    <xf numFmtId="44" fontId="13" fillId="0" borderId="6" xfId="0" applyNumberFormat="1" applyFont="1" applyBorder="1" applyAlignment="1" applyProtection="1">
      <alignment horizontal="center" vertical="center"/>
      <protection locked="0"/>
    </xf>
    <xf numFmtId="44" fontId="13" fillId="0" borderId="15" xfId="0" applyNumberFormat="1" applyFont="1" applyBorder="1" applyAlignment="1" applyProtection="1">
      <alignment horizontal="center" vertical="center"/>
      <protection locked="0"/>
    </xf>
    <xf numFmtId="164" fontId="13" fillId="0" borderId="17" xfId="0" applyNumberFormat="1" applyFont="1" applyBorder="1" applyAlignment="1">
      <alignment vertical="center"/>
    </xf>
    <xf numFmtId="164" fontId="13" fillId="0" borderId="4" xfId="0" applyNumberFormat="1" applyFont="1" applyBorder="1" applyAlignment="1">
      <alignment vertical="center"/>
    </xf>
    <xf numFmtId="0" fontId="13" fillId="0" borderId="5" xfId="0" applyFont="1" applyBorder="1" applyAlignment="1">
      <alignment vertical="center"/>
    </xf>
    <xf numFmtId="164" fontId="13" fillId="0" borderId="9" xfId="0" applyNumberFormat="1" applyFont="1" applyBorder="1" applyAlignment="1">
      <alignment vertical="center"/>
    </xf>
    <xf numFmtId="164" fontId="13" fillId="0" borderId="6" xfId="0" applyNumberFormat="1" applyFont="1" applyBorder="1" applyAlignment="1">
      <alignment vertical="center"/>
    </xf>
    <xf numFmtId="0" fontId="13" fillId="0" borderId="7" xfId="0" applyFont="1" applyBorder="1" applyAlignment="1">
      <alignment vertical="center"/>
    </xf>
    <xf numFmtId="164" fontId="13" fillId="0" borderId="12" xfId="0" applyNumberFormat="1" applyFont="1" applyBorder="1" applyAlignment="1">
      <alignment vertical="center"/>
    </xf>
    <xf numFmtId="164" fontId="13" fillId="0" borderId="8" xfId="0" applyNumberFormat="1" applyFont="1" applyBorder="1" applyAlignment="1">
      <alignment vertical="center"/>
    </xf>
    <xf numFmtId="164" fontId="13" fillId="0" borderId="55" xfId="0" applyNumberFormat="1" applyFont="1" applyBorder="1" applyAlignment="1">
      <alignment vertical="center"/>
    </xf>
    <xf numFmtId="9" fontId="13" fillId="0" borderId="44" xfId="3" applyFont="1" applyBorder="1" applyAlignment="1">
      <alignment vertical="center"/>
    </xf>
    <xf numFmtId="0" fontId="11" fillId="5" borderId="19" xfId="0" applyFont="1" applyFill="1" applyBorder="1" applyAlignment="1">
      <alignment horizontal="right" vertical="center"/>
    </xf>
    <xf numFmtId="0" fontId="11" fillId="5" borderId="5" xfId="0" applyFont="1" applyFill="1" applyBorder="1" applyAlignment="1">
      <alignment horizontal="right" vertical="center"/>
    </xf>
    <xf numFmtId="0" fontId="11" fillId="5" borderId="7" xfId="0" applyFont="1" applyFill="1" applyBorder="1" applyAlignment="1">
      <alignment horizontal="right" vertical="center"/>
    </xf>
    <xf numFmtId="3" fontId="13" fillId="0" borderId="3" xfId="0" applyNumberFormat="1" applyFont="1" applyBorder="1" applyAlignment="1">
      <alignment vertical="center"/>
    </xf>
    <xf numFmtId="3" fontId="13" fillId="0" borderId="5" xfId="0" applyNumberFormat="1" applyFont="1" applyBorder="1" applyAlignment="1">
      <alignment vertical="center"/>
    </xf>
    <xf numFmtId="3" fontId="13" fillId="0" borderId="7" xfId="0" applyNumberFormat="1" applyFont="1" applyBorder="1" applyAlignment="1">
      <alignment vertical="center"/>
    </xf>
    <xf numFmtId="0" fontId="9" fillId="12" borderId="19" xfId="5" applyBorder="1" applyAlignment="1" applyProtection="1">
      <alignment horizontal="right" vertical="center"/>
      <protection hidden="1"/>
    </xf>
    <xf numFmtId="3" fontId="9" fillId="12" borderId="13" xfId="5" applyNumberFormat="1" applyBorder="1" applyAlignment="1" applyProtection="1">
      <alignment horizontal="center" vertical="center"/>
      <protection hidden="1"/>
    </xf>
    <xf numFmtId="3" fontId="9" fillId="12" borderId="10" xfId="5" applyNumberFormat="1" applyBorder="1" applyAlignment="1" applyProtection="1">
      <alignment horizontal="center" vertical="center"/>
      <protection hidden="1"/>
    </xf>
    <xf numFmtId="3" fontId="9" fillId="12" borderId="11" xfId="5" applyNumberFormat="1" applyBorder="1" applyAlignment="1" applyProtection="1">
      <alignment horizontal="center" vertical="center"/>
      <protection hidden="1"/>
    </xf>
    <xf numFmtId="0" fontId="9" fillId="12" borderId="5" xfId="5" applyBorder="1" applyAlignment="1" applyProtection="1">
      <alignment horizontal="right" vertical="center"/>
      <protection hidden="1"/>
    </xf>
    <xf numFmtId="44" fontId="9" fillId="12" borderId="14" xfId="5" applyNumberFormat="1" applyBorder="1" applyAlignment="1" applyProtection="1">
      <alignment horizontal="center" vertical="center"/>
      <protection hidden="1"/>
    </xf>
    <xf numFmtId="44" fontId="9" fillId="12" borderId="9" xfId="5" applyNumberFormat="1" applyBorder="1" applyAlignment="1" applyProtection="1">
      <alignment horizontal="center" vertical="center"/>
      <protection hidden="1"/>
    </xf>
    <xf numFmtId="44" fontId="9" fillId="12" borderId="6" xfId="5" applyNumberFormat="1" applyBorder="1" applyAlignment="1" applyProtection="1">
      <alignment horizontal="center" vertical="center"/>
      <protection hidden="1"/>
    </xf>
    <xf numFmtId="0" fontId="9" fillId="12" borderId="7" xfId="5" applyBorder="1" applyAlignment="1" applyProtection="1">
      <alignment horizontal="right" vertical="center"/>
      <protection hidden="1"/>
    </xf>
    <xf numFmtId="44" fontId="9" fillId="12" borderId="15" xfId="5" applyNumberFormat="1" applyBorder="1" applyAlignment="1" applyProtection="1">
      <alignment horizontal="center" vertical="center"/>
      <protection hidden="1"/>
    </xf>
    <xf numFmtId="44" fontId="9" fillId="12" borderId="12" xfId="5" applyNumberFormat="1" applyBorder="1" applyAlignment="1" applyProtection="1">
      <alignment horizontal="center" vertical="center"/>
      <protection hidden="1"/>
    </xf>
    <xf numFmtId="44" fontId="9" fillId="12" borderId="8" xfId="5" applyNumberFormat="1" applyBorder="1" applyAlignment="1" applyProtection="1">
      <alignment horizontal="center" vertical="center"/>
      <protection hidden="1"/>
    </xf>
    <xf numFmtId="0" fontId="13" fillId="0" borderId="24" xfId="0" applyFont="1" applyFill="1" applyBorder="1" applyAlignment="1">
      <alignment vertical="center" wrapText="1"/>
    </xf>
    <xf numFmtId="0" fontId="11" fillId="2" borderId="1" xfId="0" applyFont="1" applyFill="1" applyBorder="1" applyAlignment="1">
      <alignment horizontal="center" vertical="center" wrapText="1"/>
    </xf>
    <xf numFmtId="0" fontId="11" fillId="2" borderId="16"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9" fillId="12" borderId="1" xfId="5" applyFont="1" applyBorder="1" applyAlignment="1" applyProtection="1">
      <alignment horizontal="center" vertical="center" wrapText="1"/>
      <protection hidden="1"/>
    </xf>
    <xf numFmtId="0" fontId="9" fillId="12" borderId="16" xfId="5" applyFont="1" applyBorder="1" applyAlignment="1" applyProtection="1">
      <alignment horizontal="center" vertical="center" wrapText="1"/>
      <protection hidden="1"/>
    </xf>
    <xf numFmtId="0" fontId="9" fillId="12" borderId="2" xfId="5" applyFont="1" applyBorder="1" applyAlignment="1" applyProtection="1">
      <alignment horizontal="center" vertical="center" wrapText="1"/>
      <protection hidden="1"/>
    </xf>
    <xf numFmtId="0" fontId="11" fillId="0" borderId="19" xfId="0" applyFont="1" applyBorder="1" applyAlignment="1">
      <alignment vertical="center"/>
    </xf>
    <xf numFmtId="164" fontId="13" fillId="0" borderId="10" xfId="0" applyNumberFormat="1" applyFont="1" applyBorder="1" applyAlignment="1" applyProtection="1">
      <alignment horizontal="right" vertical="center"/>
      <protection locked="0"/>
    </xf>
    <xf numFmtId="164" fontId="13" fillId="0" borderId="50" xfId="0" applyNumberFormat="1" applyFont="1" applyBorder="1" applyAlignment="1" applyProtection="1">
      <alignment horizontal="right" vertical="center"/>
      <protection locked="0"/>
    </xf>
    <xf numFmtId="164" fontId="13" fillId="0" borderId="20" xfId="0" applyNumberFormat="1" applyFont="1" applyBorder="1" applyAlignment="1" applyProtection="1">
      <alignment horizontal="right" vertical="center"/>
      <protection locked="0"/>
    </xf>
    <xf numFmtId="0" fontId="11" fillId="0" borderId="5" xfId="0" applyFont="1" applyBorder="1" applyAlignment="1">
      <alignment vertical="center"/>
    </xf>
    <xf numFmtId="164" fontId="13" fillId="0" borderId="9" xfId="0" applyNumberFormat="1" applyFont="1" applyBorder="1" applyAlignment="1" applyProtection="1">
      <alignment horizontal="right" vertical="center"/>
      <protection locked="0"/>
    </xf>
    <xf numFmtId="164" fontId="13" fillId="0" borderId="51" xfId="0" applyNumberFormat="1" applyFont="1" applyBorder="1" applyAlignment="1" applyProtection="1">
      <alignment horizontal="right" vertical="center"/>
      <protection locked="0"/>
    </xf>
    <xf numFmtId="164" fontId="13" fillId="0" borderId="23" xfId="0" applyNumberFormat="1" applyFont="1" applyBorder="1" applyAlignment="1" applyProtection="1">
      <alignment horizontal="right" vertical="center"/>
      <protection locked="0"/>
    </xf>
    <xf numFmtId="0" fontId="11" fillId="0" borderId="7" xfId="0" applyFont="1" applyBorder="1" applyAlignment="1">
      <alignment vertical="center"/>
    </xf>
    <xf numFmtId="164" fontId="13" fillId="0" borderId="12" xfId="0" applyNumberFormat="1" applyFont="1" applyBorder="1" applyAlignment="1" applyProtection="1">
      <alignment horizontal="right" vertical="center"/>
      <protection locked="0"/>
    </xf>
    <xf numFmtId="164" fontId="13" fillId="0" borderId="52" xfId="0" applyNumberFormat="1" applyFont="1" applyBorder="1" applyAlignment="1" applyProtection="1">
      <alignment horizontal="right" vertical="center"/>
      <protection locked="0"/>
    </xf>
    <xf numFmtId="164" fontId="13" fillId="0" borderId="21" xfId="0" applyNumberFormat="1" applyFont="1" applyBorder="1" applyAlignment="1" applyProtection="1">
      <alignment horizontal="right" vertical="center"/>
      <protection locked="0"/>
    </xf>
    <xf numFmtId="164" fontId="13" fillId="0" borderId="16" xfId="0" applyNumberFormat="1" applyFont="1" applyBorder="1" applyAlignment="1" applyProtection="1">
      <alignment horizontal="right" vertical="center"/>
      <protection locked="0"/>
    </xf>
    <xf numFmtId="164" fontId="13" fillId="0" borderId="53" xfId="0" applyNumberFormat="1" applyFont="1" applyBorder="1" applyAlignment="1" applyProtection="1">
      <alignment horizontal="right" vertical="center"/>
      <protection locked="0"/>
    </xf>
    <xf numFmtId="164" fontId="13" fillId="0" borderId="18" xfId="0" applyNumberFormat="1" applyFont="1" applyBorder="1" applyAlignment="1" applyProtection="1">
      <alignment horizontal="right" vertical="center"/>
      <protection locked="0"/>
    </xf>
    <xf numFmtId="0" fontId="13" fillId="0" borderId="45" xfId="0" applyFont="1" applyBorder="1" applyAlignment="1">
      <alignment vertical="center"/>
    </xf>
    <xf numFmtId="41" fontId="13" fillId="0" borderId="20" xfId="0" applyNumberFormat="1" applyFont="1" applyBorder="1" applyAlignment="1">
      <alignment vertical="center"/>
    </xf>
    <xf numFmtId="0" fontId="13" fillId="0" borderId="29" xfId="0" applyFont="1" applyBorder="1" applyAlignment="1">
      <alignment vertical="center"/>
    </xf>
    <xf numFmtId="167" fontId="13" fillId="0" borderId="23" xfId="0" applyNumberFormat="1" applyFont="1" applyBorder="1" applyAlignment="1">
      <alignment vertical="center"/>
    </xf>
    <xf numFmtId="44" fontId="13" fillId="0" borderId="23" xfId="0" applyNumberFormat="1" applyFont="1" applyBorder="1" applyAlignment="1">
      <alignment vertical="center"/>
    </xf>
    <xf numFmtId="0" fontId="13" fillId="0" borderId="30" xfId="0" applyFont="1" applyBorder="1" applyAlignment="1">
      <alignment vertical="center"/>
    </xf>
    <xf numFmtId="10" fontId="13" fillId="0" borderId="21" xfId="0" applyNumberFormat="1" applyFont="1" applyBorder="1" applyAlignment="1">
      <alignment vertical="center"/>
    </xf>
    <xf numFmtId="0" fontId="11" fillId="2" borderId="1" xfId="0" applyFont="1" applyFill="1" applyBorder="1" applyAlignment="1">
      <alignment horizontal="center" vertical="center"/>
    </xf>
    <xf numFmtId="0" fontId="11" fillId="2" borderId="2" xfId="0" applyFont="1" applyFill="1" applyBorder="1" applyAlignment="1">
      <alignment horizontal="center" vertical="center"/>
    </xf>
    <xf numFmtId="166" fontId="13" fillId="0" borderId="45" xfId="0" applyNumberFormat="1" applyFont="1" applyBorder="1" applyAlignment="1">
      <alignment vertical="center"/>
    </xf>
    <xf numFmtId="9" fontId="13" fillId="0" borderId="20" xfId="0" applyNumberFormat="1" applyFont="1" applyBorder="1" applyAlignment="1">
      <alignment vertical="center"/>
    </xf>
    <xf numFmtId="166" fontId="13" fillId="0" borderId="29" xfId="0" applyNumberFormat="1" applyFont="1" applyBorder="1" applyAlignment="1">
      <alignment vertical="center"/>
    </xf>
    <xf numFmtId="9" fontId="13" fillId="0" borderId="23" xfId="0" applyNumberFormat="1" applyFont="1" applyBorder="1" applyAlignment="1">
      <alignment vertical="center"/>
    </xf>
    <xf numFmtId="166" fontId="13" fillId="0" borderId="30" xfId="0" applyNumberFormat="1" applyFont="1" applyBorder="1" applyAlignment="1">
      <alignment vertical="center"/>
    </xf>
    <xf numFmtId="9" fontId="13" fillId="0" borderId="21" xfId="0" applyNumberFormat="1" applyFont="1" applyBorder="1" applyAlignment="1">
      <alignment vertical="center"/>
    </xf>
    <xf numFmtId="0" fontId="9" fillId="12" borderId="19" xfId="5" applyFont="1" applyBorder="1" applyAlignment="1" applyProtection="1">
      <alignment vertical="center"/>
      <protection hidden="1"/>
    </xf>
    <xf numFmtId="0" fontId="9" fillId="12" borderId="19" xfId="5" applyFont="1" applyBorder="1" applyAlignment="1" applyProtection="1">
      <alignment horizontal="center" vertical="center"/>
      <protection hidden="1"/>
    </xf>
    <xf numFmtId="44" fontId="9" fillId="12" borderId="10" xfId="1" applyFont="1" applyFill="1" applyBorder="1" applyAlignment="1" applyProtection="1">
      <alignment vertical="center"/>
      <protection hidden="1"/>
    </xf>
    <xf numFmtId="41" fontId="9" fillId="12" borderId="11" xfId="5" applyNumberFormat="1" applyFont="1" applyBorder="1" applyAlignment="1" applyProtection="1">
      <alignment vertical="center"/>
      <protection hidden="1"/>
    </xf>
    <xf numFmtId="44" fontId="9" fillId="12" borderId="10" xfId="1" applyFont="1" applyFill="1" applyBorder="1" applyAlignment="1" applyProtection="1">
      <alignment horizontal="right" vertical="center"/>
      <protection hidden="1"/>
    </xf>
    <xf numFmtId="44" fontId="9" fillId="12" borderId="50" xfId="1" applyFont="1" applyFill="1" applyBorder="1" applyAlignment="1" applyProtection="1">
      <alignment horizontal="right" vertical="center"/>
      <protection hidden="1"/>
    </xf>
    <xf numFmtId="44" fontId="9" fillId="12" borderId="20" xfId="1" applyFont="1" applyFill="1" applyBorder="1" applyAlignment="1" applyProtection="1">
      <alignment horizontal="right" vertical="center"/>
      <protection hidden="1"/>
    </xf>
    <xf numFmtId="0" fontId="9" fillId="12" borderId="5" xfId="5" applyFont="1" applyBorder="1" applyAlignment="1" applyProtection="1">
      <alignment vertical="center"/>
      <protection hidden="1"/>
    </xf>
    <xf numFmtId="0" fontId="9" fillId="12" borderId="5" xfId="5" applyFont="1" applyBorder="1" applyAlignment="1" applyProtection="1">
      <alignment horizontal="center" vertical="center"/>
      <protection hidden="1"/>
    </xf>
    <xf numFmtId="43" fontId="9" fillId="12" borderId="9" xfId="5" applyNumberFormat="1" applyFont="1" applyBorder="1" applyAlignment="1" applyProtection="1">
      <alignment vertical="center"/>
      <protection hidden="1"/>
    </xf>
    <xf numFmtId="41" fontId="9" fillId="12" borderId="6" xfId="5" applyNumberFormat="1" applyFont="1" applyBorder="1" applyAlignment="1" applyProtection="1">
      <alignment vertical="center"/>
      <protection hidden="1"/>
    </xf>
    <xf numFmtId="43" fontId="9" fillId="12" borderId="9" xfId="5" applyNumberFormat="1" applyFont="1" applyBorder="1" applyAlignment="1" applyProtection="1">
      <alignment horizontal="right" vertical="center"/>
      <protection hidden="1"/>
    </xf>
    <xf numFmtId="43" fontId="9" fillId="12" borderId="51" xfId="5" applyNumberFormat="1" applyFont="1" applyBorder="1" applyAlignment="1" applyProtection="1">
      <alignment horizontal="right" vertical="center"/>
      <protection hidden="1"/>
    </xf>
    <xf numFmtId="43" fontId="9" fillId="12" borderId="23" xfId="5" applyNumberFormat="1" applyFont="1" applyBorder="1" applyAlignment="1" applyProtection="1">
      <alignment horizontal="right" vertical="center"/>
      <protection hidden="1"/>
    </xf>
    <xf numFmtId="0" fontId="9" fillId="12" borderId="7" xfId="5" applyFont="1" applyBorder="1" applyAlignment="1" applyProtection="1">
      <alignment vertical="center"/>
      <protection hidden="1"/>
    </xf>
    <xf numFmtId="0" fontId="9" fillId="12" borderId="7" xfId="5" applyFont="1" applyBorder="1" applyAlignment="1" applyProtection="1">
      <alignment horizontal="center" vertical="center"/>
      <protection hidden="1"/>
    </xf>
    <xf numFmtId="43" fontId="9" fillId="12" borderId="12" xfId="5" applyNumberFormat="1" applyFont="1" applyBorder="1" applyAlignment="1" applyProtection="1">
      <alignment vertical="center"/>
      <protection hidden="1"/>
    </xf>
    <xf numFmtId="41" fontId="9" fillId="12" borderId="8" xfId="5" applyNumberFormat="1" applyFont="1" applyBorder="1" applyAlignment="1" applyProtection="1">
      <alignment vertical="center"/>
      <protection hidden="1"/>
    </xf>
    <xf numFmtId="43" fontId="9" fillId="12" borderId="12" xfId="5" applyNumberFormat="1" applyFont="1" applyBorder="1" applyAlignment="1" applyProtection="1">
      <alignment horizontal="right" vertical="center"/>
      <protection hidden="1"/>
    </xf>
    <xf numFmtId="43" fontId="9" fillId="12" borderId="52" xfId="5" applyNumberFormat="1" applyFont="1" applyBorder="1" applyAlignment="1" applyProtection="1">
      <alignment horizontal="right" vertical="center"/>
      <protection hidden="1"/>
    </xf>
    <xf numFmtId="43" fontId="9" fillId="12" borderId="21" xfId="5" applyNumberFormat="1" applyFont="1" applyBorder="1" applyAlignment="1" applyProtection="1">
      <alignment horizontal="right" vertical="center"/>
      <protection hidden="1"/>
    </xf>
    <xf numFmtId="44" fontId="9" fillId="12" borderId="16" xfId="1" applyFont="1" applyFill="1" applyBorder="1" applyAlignment="1" applyProtection="1">
      <alignment horizontal="right" vertical="center"/>
      <protection hidden="1"/>
    </xf>
    <xf numFmtId="44" fontId="9" fillId="12" borderId="53" xfId="1" applyFont="1" applyFill="1" applyBorder="1" applyAlignment="1" applyProtection="1">
      <alignment horizontal="right" vertical="center"/>
      <protection hidden="1"/>
    </xf>
    <xf numFmtId="44" fontId="9" fillId="12" borderId="18" xfId="1" applyFont="1" applyFill="1" applyBorder="1" applyAlignment="1" applyProtection="1">
      <alignment horizontal="right" vertical="center"/>
      <protection hidden="1"/>
    </xf>
    <xf numFmtId="0" fontId="11" fillId="11" borderId="1" xfId="0" applyFont="1" applyFill="1" applyBorder="1" applyAlignment="1">
      <alignment horizontal="center" vertical="center"/>
    </xf>
    <xf numFmtId="0" fontId="11" fillId="11" borderId="16" xfId="0" applyFont="1" applyFill="1" applyBorder="1" applyAlignment="1">
      <alignment horizontal="center" vertical="center"/>
    </xf>
    <xf numFmtId="0" fontId="11" fillId="11" borderId="2" xfId="0" applyFont="1" applyFill="1" applyBorder="1" applyAlignment="1">
      <alignment horizontal="center" vertical="center"/>
    </xf>
    <xf numFmtId="0" fontId="13" fillId="0" borderId="19" xfId="0" applyFont="1" applyBorder="1" applyAlignment="1">
      <alignment vertical="center"/>
    </xf>
    <xf numFmtId="0" fontId="13" fillId="0" borderId="10" xfId="0" applyFont="1" applyBorder="1" applyAlignment="1">
      <alignment vertical="center"/>
    </xf>
    <xf numFmtId="43" fontId="13" fillId="0" borderId="11" xfId="0" applyNumberFormat="1" applyFont="1" applyBorder="1" applyAlignment="1">
      <alignment vertical="center"/>
    </xf>
    <xf numFmtId="3" fontId="13" fillId="0" borderId="22" xfId="0" applyNumberFormat="1" applyFont="1" applyBorder="1" applyAlignment="1" applyProtection="1">
      <alignment horizontal="right" vertical="center"/>
      <protection locked="0"/>
    </xf>
    <xf numFmtId="3" fontId="13" fillId="0" borderId="17" xfId="0" applyNumberFormat="1" applyFont="1" applyBorder="1" applyAlignment="1" applyProtection="1">
      <alignment horizontal="right" vertical="center"/>
      <protection locked="0"/>
    </xf>
    <xf numFmtId="164" fontId="13" fillId="0" borderId="4" xfId="0" applyNumberFormat="1" applyFont="1" applyBorder="1" applyAlignment="1" applyProtection="1">
      <alignment horizontal="right" vertical="center"/>
      <protection locked="0"/>
    </xf>
    <xf numFmtId="0" fontId="13" fillId="0" borderId="9" xfId="0" applyFont="1" applyFill="1" applyBorder="1" applyAlignment="1">
      <alignment vertical="center"/>
    </xf>
    <xf numFmtId="43" fontId="13" fillId="0" borderId="6" xfId="0" applyNumberFormat="1" applyFont="1" applyBorder="1" applyAlignment="1">
      <alignment vertical="center"/>
    </xf>
    <xf numFmtId="3" fontId="13" fillId="0" borderId="14" xfId="0" applyNumberFormat="1" applyFont="1" applyBorder="1" applyAlignment="1" applyProtection="1">
      <alignment horizontal="right" vertical="center"/>
      <protection locked="0"/>
    </xf>
    <xf numFmtId="3" fontId="13" fillId="0" borderId="9" xfId="0" applyNumberFormat="1" applyFont="1" applyBorder="1" applyAlignment="1" applyProtection="1">
      <alignment horizontal="right" vertical="center"/>
      <protection locked="0"/>
    </xf>
    <xf numFmtId="164" fontId="13" fillId="0" borderId="6" xfId="0" applyNumberFormat="1" applyFont="1" applyBorder="1" applyAlignment="1" applyProtection="1">
      <alignment horizontal="right" vertical="center"/>
      <protection locked="0"/>
    </xf>
    <xf numFmtId="0" fontId="13" fillId="0" borderId="12" xfId="0" applyFont="1" applyFill="1" applyBorder="1" applyAlignment="1">
      <alignment vertical="center"/>
    </xf>
    <xf numFmtId="43" fontId="13" fillId="0" borderId="8" xfId="0" applyNumberFormat="1" applyFont="1" applyBorder="1" applyAlignment="1">
      <alignment vertical="center"/>
    </xf>
    <xf numFmtId="3" fontId="13" fillId="0" borderId="56" xfId="0" applyNumberFormat="1" applyFont="1" applyBorder="1" applyAlignment="1" applyProtection="1">
      <alignment horizontal="right" vertical="center"/>
      <protection locked="0"/>
    </xf>
    <xf numFmtId="3" fontId="13" fillId="0" borderId="31" xfId="0" applyNumberFormat="1" applyFont="1" applyBorder="1" applyAlignment="1" applyProtection="1">
      <alignment horizontal="right" vertical="center"/>
      <protection locked="0"/>
    </xf>
    <xf numFmtId="164" fontId="13" fillId="0" borderId="32" xfId="0" applyNumberFormat="1" applyFont="1" applyBorder="1" applyAlignment="1" applyProtection="1">
      <alignment horizontal="right" vertical="center"/>
      <protection locked="0"/>
    </xf>
    <xf numFmtId="3" fontId="13" fillId="0" borderId="13" xfId="0" applyNumberFormat="1" applyFont="1" applyBorder="1" applyAlignment="1" applyProtection="1">
      <alignment horizontal="right" vertical="center"/>
      <protection locked="0"/>
    </xf>
    <xf numFmtId="3" fontId="13" fillId="0" borderId="10" xfId="0" applyNumberFormat="1" applyFont="1" applyBorder="1" applyAlignment="1" applyProtection="1">
      <alignment horizontal="right" vertical="center"/>
      <protection locked="0"/>
    </xf>
    <xf numFmtId="164" fontId="13" fillId="0" borderId="11" xfId="0" applyNumberFormat="1" applyFont="1" applyBorder="1" applyAlignment="1" applyProtection="1">
      <alignment horizontal="right" vertical="center"/>
      <protection locked="0"/>
    </xf>
    <xf numFmtId="3" fontId="13" fillId="0" borderId="15" xfId="0" applyNumberFormat="1" applyFont="1" applyBorder="1" applyAlignment="1" applyProtection="1">
      <alignment horizontal="right" vertical="center"/>
      <protection locked="0"/>
    </xf>
    <xf numFmtId="3" fontId="13" fillId="0" borderId="12" xfId="0" applyNumberFormat="1" applyFont="1" applyBorder="1" applyAlignment="1" applyProtection="1">
      <alignment horizontal="right" vertical="center"/>
      <protection locked="0"/>
    </xf>
    <xf numFmtId="164" fontId="13" fillId="0" borderId="8" xfId="0" applyNumberFormat="1" applyFont="1" applyBorder="1" applyAlignment="1" applyProtection="1">
      <alignment horizontal="right" vertical="center"/>
      <protection locked="0"/>
    </xf>
    <xf numFmtId="41" fontId="13" fillId="0" borderId="43" xfId="0" applyNumberFormat="1" applyFont="1" applyBorder="1" applyAlignment="1">
      <alignment vertical="center"/>
    </xf>
    <xf numFmtId="41" fontId="13" fillId="0" borderId="44" xfId="0" applyNumberFormat="1" applyFont="1" applyBorder="1" applyAlignment="1">
      <alignment vertical="center"/>
    </xf>
    <xf numFmtId="41" fontId="13" fillId="0" borderId="23" xfId="0" applyNumberFormat="1" applyFont="1" applyBorder="1" applyAlignment="1">
      <alignment vertical="center"/>
    </xf>
    <xf numFmtId="41" fontId="13" fillId="0" borderId="21" xfId="0" applyNumberFormat="1" applyFont="1" applyBorder="1" applyAlignment="1">
      <alignment vertical="center"/>
    </xf>
    <xf numFmtId="0" fontId="13" fillId="0" borderId="58" xfId="0" applyFont="1" applyBorder="1" applyAlignment="1">
      <alignment vertical="center"/>
    </xf>
    <xf numFmtId="41" fontId="13" fillId="0" borderId="59" xfId="0" applyNumberFormat="1" applyFont="1" applyBorder="1" applyAlignment="1">
      <alignment vertical="center"/>
    </xf>
    <xf numFmtId="41" fontId="13" fillId="0" borderId="60" xfId="0" applyNumberFormat="1" applyFont="1" applyBorder="1" applyAlignment="1">
      <alignment vertical="center"/>
    </xf>
    <xf numFmtId="0" fontId="9" fillId="12" borderId="1" xfId="5" applyBorder="1" applyAlignment="1" applyProtection="1">
      <alignment horizontal="center" vertical="center"/>
      <protection hidden="1"/>
    </xf>
    <xf numFmtId="0" fontId="9" fillId="12" borderId="16" xfId="5" applyBorder="1" applyAlignment="1" applyProtection="1">
      <alignment horizontal="center" vertical="center"/>
      <protection hidden="1"/>
    </xf>
    <xf numFmtId="0" fontId="9" fillId="12" borderId="2" xfId="5" applyBorder="1" applyAlignment="1" applyProtection="1">
      <alignment horizontal="center" vertical="center"/>
      <protection hidden="1"/>
    </xf>
    <xf numFmtId="0" fontId="9" fillId="12" borderId="19" xfId="5" applyBorder="1" applyAlignment="1" applyProtection="1">
      <alignment vertical="center"/>
      <protection hidden="1"/>
    </xf>
    <xf numFmtId="0" fontId="9" fillId="12" borderId="10" xfId="5" applyBorder="1" applyAlignment="1" applyProtection="1">
      <alignment vertical="center"/>
      <protection hidden="1"/>
    </xf>
    <xf numFmtId="43" fontId="9" fillId="12" borderId="11" xfId="5" applyNumberFormat="1" applyBorder="1" applyAlignment="1" applyProtection="1">
      <alignment vertical="center"/>
      <protection hidden="1"/>
    </xf>
    <xf numFmtId="0" fontId="9" fillId="12" borderId="5" xfId="5" applyBorder="1" applyAlignment="1" applyProtection="1">
      <alignment vertical="center"/>
      <protection hidden="1"/>
    </xf>
    <xf numFmtId="0" fontId="9" fillId="12" borderId="9" xfId="5" applyBorder="1" applyAlignment="1" applyProtection="1">
      <alignment vertical="center"/>
      <protection hidden="1"/>
    </xf>
    <xf numFmtId="43" fontId="9" fillId="12" borderId="6" xfId="5" applyNumberFormat="1" applyBorder="1" applyAlignment="1" applyProtection="1">
      <alignment vertical="center"/>
      <protection hidden="1"/>
    </xf>
    <xf numFmtId="0" fontId="9" fillId="12" borderId="7" xfId="5" applyBorder="1" applyAlignment="1" applyProtection="1">
      <alignment vertical="center"/>
      <protection hidden="1"/>
    </xf>
    <xf numFmtId="0" fontId="9" fillId="12" borderId="12" xfId="5" applyBorder="1" applyAlignment="1" applyProtection="1">
      <alignment vertical="center"/>
      <protection hidden="1"/>
    </xf>
    <xf numFmtId="43" fontId="9" fillId="12" borderId="8" xfId="5" applyNumberFormat="1" applyBorder="1" applyAlignment="1" applyProtection="1">
      <alignment vertical="center"/>
      <protection hidden="1"/>
    </xf>
    <xf numFmtId="44" fontId="9" fillId="12" borderId="4" xfId="1" applyFont="1" applyFill="1" applyBorder="1" applyAlignment="1" applyProtection="1">
      <alignment horizontal="right" vertical="center"/>
      <protection hidden="1"/>
    </xf>
    <xf numFmtId="43" fontId="9" fillId="12" borderId="6" xfId="5" applyNumberFormat="1" applyBorder="1" applyAlignment="1" applyProtection="1">
      <alignment horizontal="right" vertical="center"/>
      <protection hidden="1"/>
    </xf>
    <xf numFmtId="43" fontId="9" fillId="12" borderId="32" xfId="5" applyNumberFormat="1" applyBorder="1" applyAlignment="1" applyProtection="1">
      <alignment horizontal="right" vertical="center"/>
      <protection hidden="1"/>
    </xf>
    <xf numFmtId="41" fontId="9" fillId="12" borderId="22" xfId="5" applyNumberFormat="1" applyBorder="1" applyAlignment="1" applyProtection="1">
      <alignment horizontal="right" vertical="center"/>
      <protection hidden="1"/>
    </xf>
    <xf numFmtId="41" fontId="9" fillId="12" borderId="17" xfId="5" applyNumberFormat="1" applyBorder="1" applyAlignment="1" applyProtection="1">
      <alignment horizontal="right" vertical="center"/>
      <protection hidden="1"/>
    </xf>
    <xf numFmtId="41" fontId="9" fillId="12" borderId="14" xfId="5" applyNumberFormat="1" applyBorder="1" applyAlignment="1" applyProtection="1">
      <alignment horizontal="right" vertical="center"/>
      <protection hidden="1"/>
    </xf>
    <xf numFmtId="41" fontId="9" fillId="12" borderId="9" xfId="5" applyNumberFormat="1" applyBorder="1" applyAlignment="1" applyProtection="1">
      <alignment horizontal="right" vertical="center"/>
      <protection hidden="1"/>
    </xf>
    <xf numFmtId="41" fontId="9" fillId="12" borderId="56" xfId="5" applyNumberFormat="1" applyBorder="1" applyAlignment="1" applyProtection="1">
      <alignment horizontal="right" vertical="center"/>
      <protection hidden="1"/>
    </xf>
    <xf numFmtId="41" fontId="9" fillId="12" borderId="31" xfId="5" applyNumberFormat="1" applyBorder="1" applyAlignment="1" applyProtection="1">
      <alignment horizontal="right" vertical="center"/>
      <protection hidden="1"/>
    </xf>
    <xf numFmtId="41" fontId="9" fillId="12" borderId="13" xfId="5" applyNumberFormat="1" applyBorder="1" applyAlignment="1" applyProtection="1">
      <alignment horizontal="right" vertical="center"/>
      <protection hidden="1"/>
    </xf>
    <xf numFmtId="41" fontId="9" fillId="12" borderId="10" xfId="5" applyNumberFormat="1" applyBorder="1" applyAlignment="1" applyProtection="1">
      <alignment horizontal="right" vertical="center"/>
      <protection hidden="1"/>
    </xf>
    <xf numFmtId="44" fontId="9" fillId="12" borderId="11" xfId="5" applyNumberFormat="1" applyBorder="1" applyAlignment="1" applyProtection="1">
      <alignment horizontal="right" vertical="center"/>
      <protection hidden="1"/>
    </xf>
    <xf numFmtId="44" fontId="9" fillId="12" borderId="6" xfId="1" applyFont="1" applyFill="1" applyBorder="1" applyAlignment="1" applyProtection="1">
      <alignment horizontal="right" vertical="center"/>
      <protection hidden="1"/>
    </xf>
    <xf numFmtId="41" fontId="9" fillId="12" borderId="15" xfId="5" applyNumberFormat="1" applyBorder="1" applyAlignment="1" applyProtection="1">
      <alignment horizontal="right" vertical="center"/>
      <protection hidden="1"/>
    </xf>
    <xf numFmtId="41" fontId="9" fillId="12" borderId="12" xfId="5" applyNumberFormat="1" applyBorder="1" applyAlignment="1" applyProtection="1">
      <alignment horizontal="right" vertical="center"/>
      <protection hidden="1"/>
    </xf>
    <xf numFmtId="44" fontId="9" fillId="12" borderId="8" xfId="1" applyFont="1" applyFill="1" applyBorder="1" applyAlignment="1" applyProtection="1">
      <alignment horizontal="right" vertical="center"/>
      <protection hidden="1"/>
    </xf>
    <xf numFmtId="0" fontId="9" fillId="12" borderId="21" xfId="5" applyFont="1" applyBorder="1" applyAlignment="1" applyProtection="1">
      <alignment horizontal="center"/>
      <protection hidden="1"/>
    </xf>
    <xf numFmtId="0" fontId="17" fillId="0" borderId="45" xfId="0" applyFont="1" applyBorder="1" applyAlignment="1" applyProtection="1">
      <alignment vertical="center"/>
      <protection hidden="1"/>
    </xf>
    <xf numFmtId="164" fontId="17" fillId="0" borderId="20" xfId="0" applyNumberFormat="1" applyFont="1" applyBorder="1" applyAlignment="1" applyProtection="1">
      <alignment vertical="center"/>
      <protection hidden="1"/>
    </xf>
    <xf numFmtId="0" fontId="17" fillId="0" borderId="29" xfId="0" applyFont="1" applyBorder="1" applyAlignment="1" applyProtection="1">
      <alignment vertical="center"/>
      <protection hidden="1"/>
    </xf>
    <xf numFmtId="164" fontId="17" fillId="0" borderId="23" xfId="0" applyNumberFormat="1" applyFont="1" applyBorder="1" applyAlignment="1" applyProtection="1">
      <alignment vertical="center"/>
      <protection hidden="1"/>
    </xf>
    <xf numFmtId="0" fontId="17" fillId="0" borderId="30" xfId="0" applyFont="1" applyBorder="1" applyAlignment="1" applyProtection="1">
      <alignment vertical="center"/>
      <protection hidden="1"/>
    </xf>
    <xf numFmtId="164" fontId="17" fillId="0" borderId="21" xfId="0" applyNumberFormat="1" applyFont="1" applyBorder="1" applyAlignment="1" applyProtection="1">
      <alignment vertical="center"/>
      <protection hidden="1"/>
    </xf>
    <xf numFmtId="166" fontId="17" fillId="0" borderId="45" xfId="0" applyNumberFormat="1" applyFont="1" applyBorder="1" applyAlignment="1" applyProtection="1">
      <alignment vertical="center"/>
      <protection hidden="1"/>
    </xf>
    <xf numFmtId="9" fontId="17" fillId="0" borderId="20" xfId="0" applyNumberFormat="1" applyFont="1" applyBorder="1" applyAlignment="1" applyProtection="1">
      <alignment vertical="center"/>
      <protection hidden="1"/>
    </xf>
    <xf numFmtId="166" fontId="17" fillId="0" borderId="29" xfId="0" applyNumberFormat="1" applyFont="1" applyBorder="1" applyAlignment="1" applyProtection="1">
      <alignment vertical="center"/>
      <protection hidden="1"/>
    </xf>
    <xf numFmtId="9" fontId="17" fillId="0" borderId="23" xfId="0" applyNumberFormat="1" applyFont="1" applyBorder="1" applyAlignment="1" applyProtection="1">
      <alignment vertical="center"/>
      <protection hidden="1"/>
    </xf>
    <xf numFmtId="166" fontId="17" fillId="0" borderId="30" xfId="0" applyNumberFormat="1" applyFont="1" applyBorder="1" applyAlignment="1" applyProtection="1">
      <alignment vertical="center"/>
      <protection hidden="1"/>
    </xf>
    <xf numFmtId="9" fontId="17" fillId="0" borderId="21" xfId="0" applyNumberFormat="1" applyFont="1" applyBorder="1" applyAlignment="1" applyProtection="1">
      <alignment vertical="center"/>
      <protection hidden="1"/>
    </xf>
    <xf numFmtId="0" fontId="15" fillId="5" borderId="20" xfId="0" applyFont="1" applyFill="1" applyBorder="1" applyAlignment="1" applyProtection="1">
      <alignment horizontal="center" vertical="center"/>
      <protection hidden="1"/>
    </xf>
    <xf numFmtId="0" fontId="17" fillId="0" borderId="13" xfId="0" applyFont="1" applyBorder="1" applyAlignment="1" applyProtection="1">
      <alignment horizontal="center" vertical="center"/>
      <protection hidden="1"/>
    </xf>
    <xf numFmtId="0" fontId="17" fillId="0" borderId="10" xfId="0" applyFont="1" applyBorder="1" applyAlignment="1" applyProtection="1">
      <alignment horizontal="center" vertical="center"/>
      <protection hidden="1"/>
    </xf>
    <xf numFmtId="0" fontId="17" fillId="0" borderId="11" xfId="0" applyFont="1" applyBorder="1" applyAlignment="1" applyProtection="1">
      <alignment horizontal="center" vertical="center"/>
      <protection hidden="1"/>
    </xf>
    <xf numFmtId="0" fontId="15" fillId="5" borderId="21" xfId="0" applyFont="1" applyFill="1" applyBorder="1" applyAlignment="1" applyProtection="1">
      <alignment horizontal="center" vertical="center"/>
      <protection hidden="1"/>
    </xf>
    <xf numFmtId="164" fontId="17" fillId="0" borderId="15" xfId="0" applyNumberFormat="1" applyFont="1" applyBorder="1" applyAlignment="1" applyProtection="1">
      <alignment horizontal="center" vertical="center"/>
      <protection hidden="1"/>
    </xf>
    <xf numFmtId="164" fontId="17" fillId="0" borderId="12" xfId="0" applyNumberFormat="1" applyFont="1" applyBorder="1" applyAlignment="1" applyProtection="1">
      <alignment horizontal="center" vertical="center"/>
      <protection hidden="1"/>
    </xf>
    <xf numFmtId="164" fontId="17" fillId="0" borderId="8" xfId="0" applyNumberFormat="1" applyFont="1" applyBorder="1" applyAlignment="1" applyProtection="1">
      <alignment horizontal="center" vertical="center"/>
      <protection hidden="1"/>
    </xf>
    <xf numFmtId="166" fontId="17" fillId="0" borderId="22" xfId="0" applyNumberFormat="1" applyFont="1" applyBorder="1" applyAlignment="1" applyProtection="1">
      <alignment horizontal="center" vertical="center"/>
      <protection hidden="1"/>
    </xf>
    <xf numFmtId="166" fontId="17" fillId="0" borderId="17" xfId="0" applyNumberFormat="1" applyFont="1" applyBorder="1" applyAlignment="1" applyProtection="1">
      <alignment horizontal="center" vertical="center"/>
      <protection hidden="1"/>
    </xf>
    <xf numFmtId="166" fontId="17" fillId="0" borderId="4" xfId="0" applyNumberFormat="1" applyFont="1" applyBorder="1" applyAlignment="1" applyProtection="1">
      <alignment horizontal="center" vertical="center"/>
      <protection hidden="1"/>
    </xf>
    <xf numFmtId="9" fontId="17" fillId="0" borderId="15" xfId="0" applyNumberFormat="1" applyFont="1" applyBorder="1" applyAlignment="1" applyProtection="1">
      <alignment horizontal="center" vertical="center"/>
      <protection hidden="1"/>
    </xf>
    <xf numFmtId="9" fontId="17" fillId="0" borderId="12" xfId="0" applyNumberFormat="1" applyFont="1" applyBorder="1" applyAlignment="1" applyProtection="1">
      <alignment horizontal="center" vertical="center"/>
      <protection hidden="1"/>
    </xf>
    <xf numFmtId="9" fontId="17" fillId="0" borderId="8" xfId="0" applyNumberFormat="1" applyFont="1" applyBorder="1" applyAlignment="1" applyProtection="1">
      <alignment horizontal="center" vertical="center"/>
      <protection hidden="1"/>
    </xf>
    <xf numFmtId="0" fontId="15" fillId="5" borderId="1" xfId="0" applyFont="1" applyFill="1" applyBorder="1" applyAlignment="1" applyProtection="1">
      <alignment horizontal="center" vertical="center"/>
      <protection hidden="1"/>
    </xf>
    <xf numFmtId="0" fontId="15" fillId="5" borderId="2" xfId="0" applyFont="1" applyFill="1" applyBorder="1" applyAlignment="1" applyProtection="1">
      <alignment horizontal="center" vertical="center"/>
      <protection hidden="1"/>
    </xf>
    <xf numFmtId="0" fontId="17" fillId="0" borderId="3" xfId="0" applyFont="1" applyBorder="1" applyAlignment="1" applyProtection="1">
      <alignment vertical="center"/>
      <protection hidden="1"/>
    </xf>
    <xf numFmtId="0" fontId="17" fillId="0" borderId="5" xfId="0" applyFont="1" applyBorder="1" applyAlignment="1" applyProtection="1">
      <alignment vertical="center"/>
      <protection hidden="1"/>
    </xf>
    <xf numFmtId="0" fontId="17" fillId="0" borderId="7" xfId="0" applyFont="1" applyBorder="1" applyAlignment="1" applyProtection="1">
      <alignment vertical="center"/>
      <protection hidden="1"/>
    </xf>
    <xf numFmtId="44" fontId="9" fillId="12" borderId="18" xfId="1" applyFont="1" applyFill="1" applyBorder="1" applyProtection="1">
      <protection hidden="1"/>
    </xf>
    <xf numFmtId="42" fontId="8" fillId="0" borderId="38" xfId="1" applyNumberFormat="1" applyFont="1" applyBorder="1" applyAlignment="1" applyProtection="1">
      <alignment horizontal="center" vertical="center"/>
      <protection hidden="1"/>
    </xf>
    <xf numFmtId="0" fontId="13" fillId="0" borderId="19" xfId="0" applyFont="1" applyBorder="1" applyAlignment="1" applyProtection="1">
      <alignment horizontal="center" vertical="center"/>
      <protection hidden="1"/>
    </xf>
    <xf numFmtId="44" fontId="13" fillId="0" borderId="10" xfId="1" applyFont="1" applyBorder="1" applyAlignment="1" applyProtection="1">
      <alignment vertical="center"/>
      <protection hidden="1"/>
    </xf>
    <xf numFmtId="41" fontId="13" fillId="0" borderId="11" xfId="0" applyNumberFormat="1" applyFont="1" applyBorder="1" applyAlignment="1" applyProtection="1">
      <alignment vertical="center"/>
      <protection hidden="1"/>
    </xf>
    <xf numFmtId="0" fontId="13" fillId="0" borderId="5" xfId="0" applyFont="1" applyBorder="1" applyAlignment="1" applyProtection="1">
      <alignment horizontal="center" vertical="center"/>
      <protection hidden="1"/>
    </xf>
    <xf numFmtId="43" fontId="13" fillId="0" borderId="9" xfId="0" applyNumberFormat="1" applyFont="1" applyBorder="1" applyAlignment="1" applyProtection="1">
      <alignment vertical="center"/>
      <protection hidden="1"/>
    </xf>
    <xf numFmtId="41" fontId="13" fillId="0" borderId="6" xfId="0" applyNumberFormat="1" applyFont="1" applyBorder="1" applyAlignment="1" applyProtection="1">
      <alignment vertical="center"/>
      <protection hidden="1"/>
    </xf>
    <xf numFmtId="0" fontId="13" fillId="0" borderId="7" xfId="0" applyFont="1" applyBorder="1" applyAlignment="1" applyProtection="1">
      <alignment horizontal="center" vertical="center"/>
      <protection hidden="1"/>
    </xf>
    <xf numFmtId="43" fontId="13" fillId="0" borderId="12" xfId="0" applyNumberFormat="1" applyFont="1" applyBorder="1" applyAlignment="1" applyProtection="1">
      <alignment vertical="center"/>
      <protection hidden="1"/>
    </xf>
    <xf numFmtId="41" fontId="13" fillId="0" borderId="8" xfId="0" applyNumberFormat="1" applyFont="1" applyBorder="1" applyAlignment="1" applyProtection="1">
      <alignment vertical="center"/>
      <protection hidden="1"/>
    </xf>
    <xf numFmtId="0" fontId="13" fillId="0" borderId="29" xfId="0" applyFont="1" applyBorder="1" applyAlignment="1">
      <alignment vertical="center"/>
    </xf>
    <xf numFmtId="0" fontId="13" fillId="0" borderId="30" xfId="0" applyFont="1" applyBorder="1" applyAlignment="1">
      <alignment vertical="center"/>
    </xf>
    <xf numFmtId="0" fontId="13" fillId="0" borderId="38" xfId="0" applyFont="1" applyBorder="1" applyAlignment="1" applyProtection="1">
      <alignment horizontal="center"/>
    </xf>
    <xf numFmtId="1" fontId="13" fillId="0" borderId="20" xfId="0" applyNumberFormat="1" applyFont="1" applyBorder="1" applyAlignment="1" applyProtection="1">
      <alignment horizontal="center"/>
      <protection locked="0"/>
    </xf>
    <xf numFmtId="0" fontId="13" fillId="0" borderId="23" xfId="0" applyFont="1" applyBorder="1" applyAlignment="1" applyProtection="1">
      <alignment horizontal="center"/>
      <protection locked="0"/>
    </xf>
    <xf numFmtId="9" fontId="13" fillId="0" borderId="23" xfId="3" applyFont="1" applyBorder="1" applyAlignment="1" applyProtection="1">
      <alignment horizontal="center"/>
      <protection locked="0"/>
    </xf>
    <xf numFmtId="1" fontId="13" fillId="0" borderId="23" xfId="0" applyNumberFormat="1" applyFont="1" applyBorder="1" applyAlignment="1" applyProtection="1">
      <alignment horizontal="center"/>
      <protection locked="0"/>
    </xf>
    <xf numFmtId="0" fontId="11" fillId="5" borderId="1" xfId="0" applyFont="1" applyFill="1" applyBorder="1" applyAlignment="1" applyProtection="1">
      <alignment horizontal="center" vertical="center" wrapText="1"/>
      <protection hidden="1"/>
    </xf>
    <xf numFmtId="0" fontId="11" fillId="5" borderId="49" xfId="0" applyFont="1" applyFill="1" applyBorder="1" applyAlignment="1" applyProtection="1">
      <alignment horizontal="center" vertical="center" wrapText="1"/>
      <protection hidden="1"/>
    </xf>
    <xf numFmtId="0" fontId="11" fillId="5" borderId="16" xfId="0" applyFont="1" applyFill="1" applyBorder="1" applyAlignment="1" applyProtection="1">
      <alignment horizontal="center" vertical="center" wrapText="1"/>
      <protection hidden="1"/>
    </xf>
    <xf numFmtId="0" fontId="13" fillId="0" borderId="19" xfId="0" applyFont="1" applyBorder="1" applyAlignment="1" applyProtection="1">
      <alignment horizontal="center"/>
      <protection hidden="1"/>
    </xf>
    <xf numFmtId="0" fontId="13" fillId="0" borderId="13" xfId="0" applyFont="1" applyBorder="1" applyAlignment="1" applyProtection="1">
      <alignment horizontal="center"/>
      <protection hidden="1"/>
    </xf>
    <xf numFmtId="0" fontId="13" fillId="0" borderId="10" xfId="0" applyFont="1" applyBorder="1" applyAlignment="1" applyProtection="1">
      <alignment horizontal="center"/>
      <protection hidden="1"/>
    </xf>
    <xf numFmtId="0" fontId="13" fillId="0" borderId="11" xfId="0" applyFont="1" applyBorder="1" applyAlignment="1" applyProtection="1">
      <alignment horizontal="center"/>
      <protection hidden="1"/>
    </xf>
    <xf numFmtId="0" fontId="13" fillId="0" borderId="5" xfId="0" applyFont="1" applyBorder="1" applyAlignment="1" applyProtection="1">
      <alignment horizontal="center"/>
      <protection hidden="1"/>
    </xf>
    <xf numFmtId="0" fontId="13" fillId="0" borderId="14" xfId="0" applyFont="1" applyBorder="1" applyAlignment="1" applyProtection="1">
      <alignment horizontal="center"/>
      <protection hidden="1"/>
    </xf>
    <xf numFmtId="0" fontId="13" fillId="0" borderId="9" xfId="0" applyFont="1" applyBorder="1" applyAlignment="1" applyProtection="1">
      <alignment horizontal="center"/>
      <protection hidden="1"/>
    </xf>
    <xf numFmtId="0" fontId="13" fillId="0" borderId="6" xfId="0" applyFont="1" applyBorder="1" applyAlignment="1" applyProtection="1">
      <alignment horizontal="center"/>
      <protection hidden="1"/>
    </xf>
    <xf numFmtId="0" fontId="13" fillId="0" borderId="0" xfId="0" applyFont="1" applyAlignment="1" applyProtection="1">
      <alignment horizontal="center"/>
      <protection hidden="1"/>
    </xf>
    <xf numFmtId="0" fontId="7" fillId="0" borderId="0" xfId="0" applyFont="1" applyAlignment="1" applyProtection="1">
      <alignment horizontal="center"/>
      <protection hidden="1"/>
    </xf>
    <xf numFmtId="0" fontId="17" fillId="0" borderId="0" xfId="0" applyFont="1" applyAlignment="1">
      <alignment horizontal="center" vertical="center"/>
    </xf>
    <xf numFmtId="0" fontId="11" fillId="0" borderId="0" xfId="0" applyFont="1" applyAlignment="1" applyProtection="1">
      <alignment horizontal="center" vertical="center" wrapText="1"/>
    </xf>
    <xf numFmtId="1" fontId="11" fillId="0" borderId="0" xfId="0" applyNumberFormat="1" applyFont="1" applyBorder="1" applyAlignment="1" applyProtection="1">
      <alignment horizontal="center"/>
      <protection locked="0"/>
    </xf>
    <xf numFmtId="0" fontId="11" fillId="0" borderId="0" xfId="0" applyFont="1" applyBorder="1" applyAlignment="1" applyProtection="1">
      <alignment horizontal="center"/>
      <protection locked="0"/>
    </xf>
    <xf numFmtId="0" fontId="11" fillId="0" borderId="0" xfId="0" applyFont="1" applyAlignment="1" applyProtection="1">
      <alignment horizontal="center" wrapText="1"/>
      <protection hidden="1"/>
    </xf>
    <xf numFmtId="0" fontId="13" fillId="0" borderId="0" xfId="0" applyFont="1" applyAlignment="1" applyProtection="1">
      <alignment horizontal="center" vertical="center" wrapText="1"/>
      <protection hidden="1"/>
    </xf>
    <xf numFmtId="0" fontId="17" fillId="0" borderId="0" xfId="0" applyFont="1" applyAlignment="1" applyProtection="1">
      <alignment horizontal="center"/>
      <protection hidden="1"/>
    </xf>
    <xf numFmtId="0" fontId="15" fillId="0" borderId="37" xfId="0" applyFont="1" applyBorder="1" applyAlignment="1">
      <alignment horizontal="right" vertical="center"/>
    </xf>
    <xf numFmtId="0" fontId="17" fillId="0" borderId="37" xfId="0" applyFont="1" applyBorder="1" applyAlignment="1">
      <alignment vertical="center"/>
    </xf>
    <xf numFmtId="44" fontId="17" fillId="0" borderId="37" xfId="0" applyNumberFormat="1" applyFont="1" applyBorder="1" applyAlignment="1">
      <alignment horizontal="right" vertical="center"/>
    </xf>
    <xf numFmtId="164" fontId="17" fillId="0" borderId="20" xfId="0" applyNumberFormat="1" applyFont="1" applyBorder="1" applyAlignment="1" applyProtection="1">
      <alignment horizontal="left" vertical="center" indent="2"/>
      <protection hidden="1"/>
    </xf>
    <xf numFmtId="164" fontId="17" fillId="0" borderId="23" xfId="0" applyNumberFormat="1" applyFont="1" applyBorder="1" applyAlignment="1" applyProtection="1">
      <alignment horizontal="left" vertical="center" indent="2"/>
      <protection hidden="1"/>
    </xf>
    <xf numFmtId="164" fontId="17" fillId="0" borderId="21" xfId="0" applyNumberFormat="1" applyFont="1" applyBorder="1" applyAlignment="1" applyProtection="1">
      <alignment horizontal="left" vertical="center" indent="2"/>
      <protection hidden="1"/>
    </xf>
    <xf numFmtId="9" fontId="17" fillId="0" borderId="23" xfId="0" applyNumberFormat="1" applyFont="1" applyBorder="1" applyAlignment="1" applyProtection="1">
      <alignment horizontal="left" vertical="center" indent="2"/>
      <protection hidden="1"/>
    </xf>
    <xf numFmtId="9" fontId="17" fillId="0" borderId="21" xfId="0" applyNumberFormat="1" applyFont="1" applyBorder="1" applyAlignment="1" applyProtection="1">
      <alignment horizontal="left" vertical="center" indent="2"/>
      <protection hidden="1"/>
    </xf>
    <xf numFmtId="166" fontId="17" fillId="0" borderId="45" xfId="0" applyNumberFormat="1" applyFont="1" applyBorder="1" applyAlignment="1" applyProtection="1">
      <alignment horizontal="right" vertical="center" indent="2"/>
      <protection hidden="1"/>
    </xf>
    <xf numFmtId="166" fontId="17" fillId="0" borderId="29" xfId="0" applyNumberFormat="1" applyFont="1" applyBorder="1" applyAlignment="1" applyProtection="1">
      <alignment horizontal="right" vertical="center" indent="2"/>
      <protection hidden="1"/>
    </xf>
    <xf numFmtId="166" fontId="17" fillId="0" borderId="30" xfId="0" applyNumberFormat="1" applyFont="1" applyBorder="1" applyAlignment="1" applyProtection="1">
      <alignment horizontal="right" vertical="center" indent="2"/>
      <protection hidden="1"/>
    </xf>
    <xf numFmtId="9" fontId="17" fillId="0" borderId="20" xfId="0" applyNumberFormat="1" applyFont="1" applyBorder="1" applyAlignment="1" applyProtection="1">
      <alignment horizontal="right" vertical="center" indent="2"/>
      <protection hidden="1"/>
    </xf>
    <xf numFmtId="9" fontId="17" fillId="0" borderId="23" xfId="0" applyNumberFormat="1" applyFont="1" applyBorder="1" applyAlignment="1" applyProtection="1">
      <alignment horizontal="right" vertical="center" indent="2"/>
      <protection hidden="1"/>
    </xf>
    <xf numFmtId="3" fontId="13" fillId="0" borderId="13" xfId="0" applyNumberFormat="1" applyFont="1" applyBorder="1" applyAlignment="1" applyProtection="1">
      <alignment horizontal="center" vertical="center"/>
      <protection locked="0" hidden="1"/>
    </xf>
    <xf numFmtId="3" fontId="13" fillId="0" borderId="10" xfId="0" applyNumberFormat="1" applyFont="1" applyBorder="1" applyAlignment="1" applyProtection="1">
      <alignment horizontal="center" vertical="center"/>
      <protection locked="0" hidden="1"/>
    </xf>
    <xf numFmtId="3" fontId="13" fillId="0" borderId="11" xfId="0" applyNumberFormat="1" applyFont="1" applyBorder="1" applyAlignment="1" applyProtection="1">
      <alignment horizontal="center" vertical="center"/>
      <protection locked="0" hidden="1"/>
    </xf>
    <xf numFmtId="9" fontId="13" fillId="0" borderId="10" xfId="0" applyNumberFormat="1" applyFont="1" applyBorder="1" applyAlignment="1" applyProtection="1">
      <alignment horizontal="center"/>
      <protection hidden="1"/>
    </xf>
    <xf numFmtId="9" fontId="13" fillId="0" borderId="9" xfId="0" applyNumberFormat="1" applyFont="1" applyBorder="1" applyAlignment="1" applyProtection="1">
      <alignment horizontal="center"/>
      <protection hidden="1"/>
    </xf>
    <xf numFmtId="0" fontId="13" fillId="0" borderId="21" xfId="0" applyFont="1" applyBorder="1" applyAlignment="1" applyProtection="1">
      <alignment horizontal="center"/>
      <protection locked="0"/>
    </xf>
    <xf numFmtId="44" fontId="9" fillId="12" borderId="14" xfId="1" applyFont="1" applyFill="1" applyBorder="1" applyAlignment="1" applyProtection="1">
      <alignment horizontal="center" vertical="center"/>
      <protection hidden="1"/>
    </xf>
    <xf numFmtId="0" fontId="18" fillId="0" borderId="0" xfId="4" applyFont="1" applyProtection="1">
      <protection hidden="1"/>
    </xf>
    <xf numFmtId="49" fontId="22" fillId="0" borderId="0" xfId="4" applyNumberFormat="1" applyFont="1" applyAlignment="1" applyProtection="1">
      <alignment horizontal="left"/>
      <protection hidden="1"/>
    </xf>
    <xf numFmtId="0" fontId="22" fillId="0" borderId="0" xfId="4" applyFont="1" applyProtection="1">
      <protection hidden="1"/>
    </xf>
    <xf numFmtId="49" fontId="22" fillId="7" borderId="24" xfId="4" applyNumberFormat="1" applyFont="1" applyFill="1" applyBorder="1" applyAlignment="1" applyProtection="1">
      <alignment horizontal="right"/>
      <protection hidden="1"/>
    </xf>
    <xf numFmtId="168" fontId="22" fillId="8" borderId="0" xfId="4" applyNumberFormat="1" applyFont="1" applyFill="1" applyBorder="1" applyAlignment="1" applyProtection="1">
      <alignment horizontal="center"/>
      <protection locked="0"/>
    </xf>
    <xf numFmtId="0" fontId="22" fillId="7" borderId="40" xfId="4" quotePrefix="1" applyNumberFormat="1" applyFont="1" applyFill="1" applyBorder="1" applyAlignment="1" applyProtection="1">
      <alignment horizontal="left"/>
      <protection hidden="1"/>
    </xf>
    <xf numFmtId="49" fontId="22" fillId="0" borderId="2" xfId="4" applyNumberFormat="1" applyFont="1" applyBorder="1" applyAlignment="1" applyProtection="1">
      <alignment horizontal="center"/>
      <protection hidden="1"/>
    </xf>
    <xf numFmtId="0" fontId="22" fillId="0" borderId="0" xfId="4" applyFont="1" applyAlignment="1" applyProtection="1">
      <alignment horizontal="center"/>
      <protection hidden="1"/>
    </xf>
    <xf numFmtId="49" fontId="22" fillId="24" borderId="6" xfId="4" applyNumberFormat="1" applyFont="1" applyFill="1" applyBorder="1" applyAlignment="1" applyProtection="1">
      <alignment horizontal="left"/>
      <protection locked="0"/>
    </xf>
    <xf numFmtId="49" fontId="22" fillId="0" borderId="6" xfId="4" applyNumberFormat="1" applyFont="1" applyBorder="1" applyAlignment="1" applyProtection="1">
      <alignment horizontal="left"/>
      <protection locked="0"/>
    </xf>
    <xf numFmtId="0" fontId="26" fillId="0" borderId="0" xfId="4" applyFont="1" applyAlignment="1" applyProtection="1">
      <alignment vertical="center"/>
      <protection hidden="1"/>
    </xf>
    <xf numFmtId="49" fontId="27" fillId="0" borderId="6" xfId="4" applyNumberFormat="1" applyFont="1" applyBorder="1" applyAlignment="1" applyProtection="1">
      <alignment horizontal="left"/>
      <protection locked="0"/>
    </xf>
    <xf numFmtId="49" fontId="18" fillId="0" borderId="0" xfId="4" applyNumberFormat="1" applyFont="1" applyProtection="1">
      <protection hidden="1"/>
    </xf>
    <xf numFmtId="49" fontId="27" fillId="0" borderId="8" xfId="4" applyNumberFormat="1" applyFont="1" applyBorder="1" applyAlignment="1" applyProtection="1">
      <alignment horizontal="left"/>
      <protection locked="0"/>
    </xf>
    <xf numFmtId="0" fontId="1" fillId="0" borderId="0" xfId="4"/>
    <xf numFmtId="49" fontId="27" fillId="0" borderId="29" xfId="4" applyNumberFormat="1" applyFont="1" applyBorder="1" applyAlignment="1" applyProtection="1">
      <alignment horizontal="left"/>
      <protection locked="0"/>
    </xf>
    <xf numFmtId="49" fontId="27" fillId="0" borderId="14" xfId="4" applyNumberFormat="1" applyFont="1" applyBorder="1" applyAlignment="1" applyProtection="1">
      <alignment horizontal="left"/>
      <protection locked="0"/>
    </xf>
    <xf numFmtId="49" fontId="27" fillId="0" borderId="30" xfId="4" applyNumberFormat="1" applyFont="1" applyBorder="1" applyAlignment="1" applyProtection="1">
      <alignment horizontal="left"/>
      <protection locked="0"/>
    </xf>
    <xf numFmtId="49" fontId="27" fillId="0" borderId="15" xfId="4" applyNumberFormat="1" applyFont="1" applyBorder="1" applyAlignment="1" applyProtection="1">
      <alignment horizontal="left"/>
      <protection locked="0"/>
    </xf>
    <xf numFmtId="0" fontId="26" fillId="25" borderId="26" xfId="4" applyFont="1" applyFill="1" applyBorder="1" applyAlignment="1" applyProtection="1">
      <alignment horizontal="center"/>
      <protection hidden="1"/>
    </xf>
    <xf numFmtId="0" fontId="26" fillId="25" borderId="35" xfId="4" applyFont="1" applyFill="1" applyBorder="1" applyAlignment="1" applyProtection="1">
      <alignment horizontal="center"/>
      <protection hidden="1"/>
    </xf>
    <xf numFmtId="0" fontId="28" fillId="25" borderId="24" xfId="4" applyFont="1" applyFill="1" applyBorder="1" applyAlignment="1" applyProtection="1">
      <alignment horizontal="right" vertical="center"/>
      <protection hidden="1"/>
    </xf>
    <xf numFmtId="0" fontId="15" fillId="25" borderId="40" xfId="4" applyFont="1" applyFill="1" applyBorder="1" applyAlignment="1" applyProtection="1">
      <alignment horizontal="left" vertical="center"/>
      <protection hidden="1"/>
    </xf>
    <xf numFmtId="0" fontId="28" fillId="25" borderId="25" xfId="4" applyFont="1" applyFill="1" applyBorder="1" applyAlignment="1" applyProtection="1">
      <alignment horizontal="right" vertical="center"/>
      <protection hidden="1"/>
    </xf>
    <xf numFmtId="0" fontId="15" fillId="25" borderId="36" xfId="4" applyFont="1" applyFill="1" applyBorder="1" applyAlignment="1" applyProtection="1">
      <alignment horizontal="left" vertical="center"/>
      <protection hidden="1"/>
    </xf>
    <xf numFmtId="49" fontId="22" fillId="7" borderId="26" xfId="4" applyNumberFormat="1" applyFont="1" applyFill="1" applyBorder="1" applyAlignment="1" applyProtection="1">
      <alignment horizontal="center"/>
      <protection hidden="1"/>
    </xf>
    <xf numFmtId="49" fontId="22" fillId="7" borderId="38" xfId="4" applyNumberFormat="1" applyFont="1" applyFill="1" applyBorder="1" applyAlignment="1" applyProtection="1">
      <alignment horizontal="center"/>
      <protection hidden="1"/>
    </xf>
    <xf numFmtId="49" fontId="22" fillId="7" borderId="35" xfId="4" applyNumberFormat="1" applyFont="1" applyFill="1" applyBorder="1" applyAlignment="1" applyProtection="1">
      <alignment horizontal="center"/>
      <protection hidden="1"/>
    </xf>
    <xf numFmtId="49" fontId="22" fillId="7" borderId="25" xfId="4" applyNumberFormat="1" applyFont="1" applyFill="1" applyBorder="1" applyAlignment="1" applyProtection="1">
      <alignment horizontal="center"/>
      <protection hidden="1"/>
    </xf>
    <xf numFmtId="49" fontId="22" fillId="7" borderId="39" xfId="4" applyNumberFormat="1" applyFont="1" applyFill="1" applyBorder="1" applyAlignment="1" applyProtection="1">
      <alignment horizontal="center"/>
      <protection hidden="1"/>
    </xf>
    <xf numFmtId="49" fontId="22" fillId="7" borderId="36" xfId="4" applyNumberFormat="1" applyFont="1" applyFill="1" applyBorder="1" applyAlignment="1" applyProtection="1">
      <alignment horizontal="center"/>
      <protection hidden="1"/>
    </xf>
    <xf numFmtId="49" fontId="22" fillId="3" borderId="41" xfId="4" applyNumberFormat="1" applyFont="1" applyFill="1" applyBorder="1" applyAlignment="1" applyProtection="1">
      <alignment horizontal="center"/>
      <protection hidden="1"/>
    </xf>
    <xf numFmtId="49" fontId="22" fillId="3" borderId="38" xfId="4" applyNumberFormat="1" applyFont="1" applyFill="1" applyBorder="1" applyAlignment="1" applyProtection="1">
      <alignment horizontal="center"/>
      <protection hidden="1"/>
    </xf>
    <xf numFmtId="49" fontId="22" fillId="3" borderId="42" xfId="4" applyNumberFormat="1" applyFont="1" applyFill="1" applyBorder="1" applyAlignment="1" applyProtection="1">
      <alignment horizontal="center"/>
      <protection hidden="1"/>
    </xf>
    <xf numFmtId="49" fontId="22" fillId="0" borderId="33" xfId="4" applyNumberFormat="1" applyFont="1" applyBorder="1" applyAlignment="1" applyProtection="1">
      <alignment horizontal="center"/>
      <protection hidden="1"/>
    </xf>
    <xf numFmtId="49" fontId="22" fillId="0" borderId="49" xfId="4" applyNumberFormat="1" applyFont="1" applyBorder="1" applyAlignment="1" applyProtection="1">
      <alignment horizontal="center"/>
      <protection hidden="1"/>
    </xf>
    <xf numFmtId="49" fontId="22" fillId="24" borderId="28" xfId="4" applyNumberFormat="1" applyFont="1" applyFill="1" applyBorder="1" applyAlignment="1" applyProtection="1">
      <alignment horizontal="left"/>
      <protection locked="0"/>
    </xf>
    <xf numFmtId="49" fontId="22" fillId="24" borderId="13" xfId="4" applyNumberFormat="1" applyFont="1" applyFill="1" applyBorder="1" applyAlignment="1" applyProtection="1">
      <alignment horizontal="left"/>
      <protection locked="0"/>
    </xf>
    <xf numFmtId="49" fontId="22" fillId="0" borderId="29" xfId="4" applyNumberFormat="1" applyFont="1" applyBorder="1" applyAlignment="1" applyProtection="1">
      <alignment horizontal="left"/>
      <protection locked="0"/>
    </xf>
    <xf numFmtId="49" fontId="22" fillId="0" borderId="14" xfId="4" applyNumberFormat="1" applyFont="1" applyBorder="1" applyAlignment="1" applyProtection="1">
      <alignment horizontal="left"/>
      <protection locked="0"/>
    </xf>
    <xf numFmtId="0" fontId="10" fillId="15" borderId="33" xfId="0" applyFont="1" applyFill="1" applyBorder="1" applyAlignment="1" applyProtection="1">
      <alignment horizontal="left" vertical="center" wrapText="1"/>
    </xf>
    <xf numFmtId="0" fontId="10" fillId="15" borderId="37" xfId="0" applyFont="1" applyFill="1" applyBorder="1" applyAlignment="1" applyProtection="1">
      <alignment horizontal="left" vertical="center" wrapText="1"/>
    </xf>
    <xf numFmtId="0" fontId="10" fillId="15" borderId="37" xfId="0" applyFont="1" applyFill="1" applyBorder="1" applyAlignment="1" applyProtection="1">
      <alignment horizontal="left" vertical="center"/>
    </xf>
    <xf numFmtId="0" fontId="10" fillId="15" borderId="34" xfId="0" applyFont="1" applyFill="1" applyBorder="1" applyAlignment="1" applyProtection="1">
      <alignment horizontal="left" vertical="center"/>
    </xf>
    <xf numFmtId="0" fontId="15" fillId="10" borderId="26" xfId="0" applyFont="1" applyFill="1" applyBorder="1" applyAlignment="1" applyProtection="1">
      <alignment horizontal="center" vertical="center" wrapText="1"/>
      <protection hidden="1"/>
    </xf>
    <xf numFmtId="0" fontId="15" fillId="10" borderId="38" xfId="0" applyFont="1" applyFill="1" applyBorder="1" applyAlignment="1" applyProtection="1">
      <alignment horizontal="center" vertical="center" wrapText="1"/>
      <protection hidden="1"/>
    </xf>
    <xf numFmtId="0" fontId="15" fillId="10" borderId="35" xfId="0" applyFont="1" applyFill="1" applyBorder="1" applyAlignment="1" applyProtection="1">
      <alignment horizontal="center" vertical="center" wrapText="1"/>
      <protection hidden="1"/>
    </xf>
    <xf numFmtId="0" fontId="15" fillId="10" borderId="25" xfId="0" applyFont="1" applyFill="1" applyBorder="1" applyAlignment="1" applyProtection="1">
      <alignment horizontal="center" vertical="center" wrapText="1"/>
      <protection hidden="1"/>
    </xf>
    <xf numFmtId="0" fontId="15" fillId="10" borderId="39" xfId="0" applyFont="1" applyFill="1" applyBorder="1" applyAlignment="1" applyProtection="1">
      <alignment horizontal="center" vertical="center" wrapText="1"/>
      <protection hidden="1"/>
    </xf>
    <xf numFmtId="0" fontId="15" fillId="10" borderId="36" xfId="0" applyFont="1" applyFill="1" applyBorder="1" applyAlignment="1" applyProtection="1">
      <alignment horizontal="center" vertical="center" wrapText="1"/>
      <protection hidden="1"/>
    </xf>
    <xf numFmtId="0" fontId="15" fillId="9" borderId="33" xfId="0" applyFont="1" applyFill="1" applyBorder="1" applyAlignment="1">
      <alignment horizontal="center" vertical="center"/>
    </xf>
    <xf numFmtId="0" fontId="15" fillId="9" borderId="34" xfId="0" applyFont="1" applyFill="1" applyBorder="1" applyAlignment="1">
      <alignment horizontal="center" vertical="center"/>
    </xf>
    <xf numFmtId="0" fontId="15" fillId="8" borderId="26" xfId="0" applyFont="1" applyFill="1" applyBorder="1" applyAlignment="1">
      <alignment horizontal="center" vertical="center"/>
    </xf>
    <xf numFmtId="0" fontId="15" fillId="8" borderId="35" xfId="0" applyFont="1" applyFill="1" applyBorder="1" applyAlignment="1">
      <alignment horizontal="center" vertical="center"/>
    </xf>
    <xf numFmtId="0" fontId="15" fillId="8" borderId="25" xfId="0" applyFont="1" applyFill="1" applyBorder="1" applyAlignment="1">
      <alignment horizontal="center" vertical="center"/>
    </xf>
    <xf numFmtId="0" fontId="15" fillId="8" borderId="36" xfId="0" applyFont="1" applyFill="1" applyBorder="1" applyAlignment="1">
      <alignment horizontal="center" vertical="center"/>
    </xf>
    <xf numFmtId="0" fontId="17" fillId="17" borderId="33" xfId="0" applyFont="1" applyFill="1" applyBorder="1" applyAlignment="1">
      <alignment horizontal="left" vertical="center" wrapText="1"/>
    </xf>
    <xf numFmtId="0" fontId="17" fillId="17" borderId="37" xfId="0" applyFont="1" applyFill="1" applyBorder="1" applyAlignment="1">
      <alignment horizontal="left" vertical="center" wrapText="1"/>
    </xf>
    <xf numFmtId="0" fontId="17" fillId="17" borderId="34" xfId="0" applyFont="1" applyFill="1" applyBorder="1" applyAlignment="1">
      <alignment horizontal="left" vertical="center" wrapText="1"/>
    </xf>
    <xf numFmtId="0" fontId="17" fillId="7" borderId="33" xfId="0" applyFont="1" applyFill="1" applyBorder="1" applyAlignment="1">
      <alignment horizontal="left" vertical="center" wrapText="1"/>
    </xf>
    <xf numFmtId="0" fontId="17" fillId="7" borderId="37" xfId="0" applyFont="1" applyFill="1" applyBorder="1" applyAlignment="1">
      <alignment horizontal="left" vertical="center" wrapText="1"/>
    </xf>
    <xf numFmtId="0" fontId="17" fillId="7" borderId="34" xfId="0" applyFont="1" applyFill="1" applyBorder="1" applyAlignment="1">
      <alignment horizontal="left" vertical="center" wrapText="1"/>
    </xf>
    <xf numFmtId="0" fontId="15" fillId="9" borderId="26" xfId="0" applyFont="1" applyFill="1" applyBorder="1" applyAlignment="1" applyProtection="1">
      <alignment horizontal="center" vertical="center"/>
      <protection hidden="1"/>
    </xf>
    <xf numFmtId="0" fontId="15" fillId="9" borderId="38" xfId="0" applyFont="1" applyFill="1" applyBorder="1" applyAlignment="1" applyProtection="1">
      <alignment horizontal="center" vertical="center"/>
      <protection hidden="1"/>
    </xf>
    <xf numFmtId="0" fontId="15" fillId="9" borderId="35" xfId="0" applyFont="1" applyFill="1" applyBorder="1" applyAlignment="1" applyProtection="1">
      <alignment horizontal="center" vertical="center"/>
      <protection hidden="1"/>
    </xf>
    <xf numFmtId="0" fontId="15" fillId="9" borderId="1" xfId="0" applyFont="1" applyFill="1" applyBorder="1" applyAlignment="1" applyProtection="1">
      <alignment horizontal="center" vertical="center"/>
      <protection hidden="1"/>
    </xf>
    <xf numFmtId="0" fontId="15" fillId="9" borderId="16" xfId="0" applyFont="1" applyFill="1" applyBorder="1" applyAlignment="1" applyProtection="1">
      <alignment horizontal="center" vertical="center"/>
      <protection hidden="1"/>
    </xf>
    <xf numFmtId="0" fontId="15" fillId="9" borderId="2" xfId="0" applyFont="1" applyFill="1" applyBorder="1" applyAlignment="1" applyProtection="1">
      <alignment horizontal="center" vertical="center"/>
      <protection hidden="1"/>
    </xf>
    <xf numFmtId="0" fontId="17" fillId="18" borderId="33" xfId="0" applyFont="1" applyFill="1" applyBorder="1" applyAlignment="1">
      <alignment horizontal="left" vertical="center" wrapText="1"/>
    </xf>
    <xf numFmtId="0" fontId="17" fillId="18" borderId="37" xfId="0" applyFont="1" applyFill="1" applyBorder="1" applyAlignment="1">
      <alignment horizontal="left" vertical="center" wrapText="1"/>
    </xf>
    <xf numFmtId="0" fontId="17" fillId="18" borderId="34" xfId="0" applyFont="1" applyFill="1" applyBorder="1" applyAlignment="1">
      <alignment horizontal="left" vertical="center" wrapText="1"/>
    </xf>
    <xf numFmtId="0" fontId="15" fillId="9" borderId="33" xfId="0" applyFont="1" applyFill="1" applyBorder="1" applyAlignment="1" applyProtection="1">
      <alignment horizontal="center" vertical="center"/>
      <protection hidden="1"/>
    </xf>
    <xf numFmtId="0" fontId="15" fillId="9" borderId="34" xfId="0" applyFont="1" applyFill="1" applyBorder="1" applyAlignment="1" applyProtection="1">
      <alignment horizontal="center" vertical="center"/>
      <protection hidden="1"/>
    </xf>
    <xf numFmtId="0" fontId="15" fillId="8" borderId="24" xfId="0" applyFont="1" applyFill="1" applyBorder="1" applyAlignment="1">
      <alignment horizontal="center" vertical="center"/>
    </xf>
    <xf numFmtId="0" fontId="15" fillId="8" borderId="40" xfId="0" applyFont="1" applyFill="1" applyBorder="1" applyAlignment="1">
      <alignment horizontal="center" vertical="center"/>
    </xf>
    <xf numFmtId="0" fontId="17" fillId="13" borderId="33" xfId="0" applyFont="1" applyFill="1" applyBorder="1" applyAlignment="1">
      <alignment horizontal="left" vertical="center" wrapText="1"/>
    </xf>
    <xf numFmtId="0" fontId="17" fillId="13" borderId="37" xfId="0" applyFont="1" applyFill="1" applyBorder="1" applyAlignment="1">
      <alignment horizontal="left" vertical="center" wrapText="1"/>
    </xf>
    <xf numFmtId="0" fontId="17" fillId="13" borderId="34" xfId="0" applyFont="1" applyFill="1" applyBorder="1" applyAlignment="1">
      <alignment horizontal="left" vertical="center" wrapText="1"/>
    </xf>
    <xf numFmtId="0" fontId="4" fillId="20" borderId="33" xfId="0" applyFont="1" applyFill="1" applyBorder="1" applyAlignment="1">
      <alignment horizontal="left" vertical="center" wrapText="1"/>
    </xf>
    <xf numFmtId="0" fontId="7" fillId="20" borderId="37" xfId="0" applyFont="1" applyFill="1" applyBorder="1" applyAlignment="1">
      <alignment horizontal="left" vertical="center" wrapText="1"/>
    </xf>
    <xf numFmtId="0" fontId="7" fillId="20" borderId="34" xfId="0" applyFont="1" applyFill="1" applyBorder="1" applyAlignment="1">
      <alignment horizontal="left" vertical="center" wrapText="1"/>
    </xf>
    <xf numFmtId="0" fontId="6" fillId="9" borderId="33" xfId="0" applyFont="1" applyFill="1" applyBorder="1" applyAlignment="1">
      <alignment horizontal="center" vertical="center"/>
    </xf>
    <xf numFmtId="0" fontId="6" fillId="9" borderId="37" xfId="0" applyFont="1" applyFill="1" applyBorder="1" applyAlignment="1">
      <alignment horizontal="center" vertical="center"/>
    </xf>
    <xf numFmtId="0" fontId="6" fillId="9" borderId="34" xfId="0" applyFont="1" applyFill="1" applyBorder="1" applyAlignment="1">
      <alignment horizontal="center" vertical="center"/>
    </xf>
    <xf numFmtId="0" fontId="6" fillId="8" borderId="26" xfId="0" applyFont="1" applyFill="1" applyBorder="1" applyAlignment="1">
      <alignment horizontal="center" vertical="center"/>
    </xf>
    <xf numFmtId="0" fontId="6" fillId="8" borderId="35" xfId="0" applyFont="1" applyFill="1" applyBorder="1" applyAlignment="1">
      <alignment horizontal="center" vertical="center"/>
    </xf>
    <xf numFmtId="0" fontId="6" fillId="8" borderId="24" xfId="0" applyFont="1" applyFill="1" applyBorder="1" applyAlignment="1">
      <alignment horizontal="center" vertical="center"/>
    </xf>
    <xf numFmtId="0" fontId="6" fillId="8" borderId="40" xfId="0" applyFont="1" applyFill="1" applyBorder="1" applyAlignment="1">
      <alignment horizontal="center" vertical="center"/>
    </xf>
    <xf numFmtId="0" fontId="6" fillId="5" borderId="26" xfId="0" applyFont="1" applyFill="1" applyBorder="1" applyAlignment="1">
      <alignment horizontal="center" vertical="center"/>
    </xf>
    <xf numFmtId="0" fontId="6" fillId="5" borderId="25" xfId="0" applyFont="1" applyFill="1" applyBorder="1" applyAlignment="1">
      <alignment horizontal="center" vertical="center"/>
    </xf>
    <xf numFmtId="0" fontId="20" fillId="12" borderId="26" xfId="5" applyFont="1" applyBorder="1" applyAlignment="1" applyProtection="1">
      <alignment horizontal="center" vertical="center"/>
      <protection hidden="1"/>
    </xf>
    <xf numFmtId="0" fontId="20" fillId="12" borderId="38" xfId="5" applyFont="1" applyBorder="1" applyAlignment="1" applyProtection="1">
      <alignment horizontal="center" vertical="center"/>
      <protection hidden="1"/>
    </xf>
    <xf numFmtId="0" fontId="20" fillId="12" borderId="35" xfId="5" applyFont="1" applyBorder="1" applyAlignment="1" applyProtection="1">
      <alignment horizontal="center" vertical="center"/>
      <protection hidden="1"/>
    </xf>
    <xf numFmtId="0" fontId="20" fillId="12" borderId="25" xfId="5" applyFont="1" applyBorder="1" applyAlignment="1" applyProtection="1">
      <alignment horizontal="center" vertical="center"/>
      <protection hidden="1"/>
    </xf>
    <xf numFmtId="0" fontId="20" fillId="12" borderId="39" xfId="5" applyFont="1" applyBorder="1" applyAlignment="1" applyProtection="1">
      <alignment horizontal="center" vertical="center"/>
      <protection hidden="1"/>
    </xf>
    <xf numFmtId="0" fontId="20" fillId="12" borderId="36" xfId="5" applyFont="1" applyBorder="1" applyAlignment="1" applyProtection="1">
      <alignment horizontal="center" vertical="center"/>
      <protection hidden="1"/>
    </xf>
    <xf numFmtId="0" fontId="20" fillId="21" borderId="33" xfId="5" applyFont="1" applyFill="1" applyBorder="1" applyAlignment="1" applyProtection="1">
      <alignment horizontal="center"/>
      <protection hidden="1"/>
    </xf>
    <xf numFmtId="0" fontId="20" fillId="21" borderId="37" xfId="5" applyFont="1" applyFill="1" applyBorder="1" applyAlignment="1" applyProtection="1">
      <alignment horizontal="center"/>
      <protection hidden="1"/>
    </xf>
    <xf numFmtId="0" fontId="20" fillId="21" borderId="34" xfId="5" applyFont="1" applyFill="1" applyBorder="1" applyAlignment="1" applyProtection="1">
      <alignment horizontal="center"/>
      <protection hidden="1"/>
    </xf>
    <xf numFmtId="0" fontId="17" fillId="6" borderId="33" xfId="0" applyFont="1" applyFill="1" applyBorder="1" applyAlignment="1">
      <alignment vertical="center" wrapText="1"/>
    </xf>
    <xf numFmtId="0" fontId="17" fillId="6" borderId="37" xfId="0" applyFont="1" applyFill="1" applyBorder="1" applyAlignment="1">
      <alignment vertical="center" wrapText="1"/>
    </xf>
    <xf numFmtId="0" fontId="17" fillId="6" borderId="34" xfId="0" applyFont="1" applyFill="1" applyBorder="1" applyAlignment="1">
      <alignment vertical="center" wrapText="1"/>
    </xf>
    <xf numFmtId="0" fontId="11" fillId="0" borderId="29" xfId="0" applyFont="1" applyFill="1" applyBorder="1" applyAlignment="1">
      <alignment horizontal="center" vertical="center"/>
    </xf>
    <xf numFmtId="0" fontId="11" fillId="0" borderId="47" xfId="0" applyFont="1" applyFill="1" applyBorder="1" applyAlignment="1">
      <alignment horizontal="center" vertical="center"/>
    </xf>
    <xf numFmtId="0" fontId="11" fillId="0" borderId="43" xfId="0" applyFont="1" applyFill="1" applyBorder="1" applyAlignment="1">
      <alignment horizontal="center" vertical="center"/>
    </xf>
    <xf numFmtId="0" fontId="15" fillId="8" borderId="38" xfId="0" applyFont="1" applyFill="1" applyBorder="1" applyAlignment="1">
      <alignment horizontal="center" vertical="center"/>
    </xf>
    <xf numFmtId="0" fontId="15" fillId="8" borderId="39" xfId="0" applyFont="1" applyFill="1" applyBorder="1" applyAlignment="1">
      <alignment horizontal="center" vertical="center"/>
    </xf>
    <xf numFmtId="0" fontId="11" fillId="14" borderId="33" xfId="0" applyFont="1" applyFill="1" applyBorder="1" applyAlignment="1">
      <alignment horizontal="center" vertical="center"/>
    </xf>
    <xf numFmtId="0" fontId="11" fillId="14" borderId="37" xfId="0" applyFont="1" applyFill="1" applyBorder="1" applyAlignment="1">
      <alignment horizontal="center" vertical="center"/>
    </xf>
    <xf numFmtId="0" fontId="11" fillId="14" borderId="34" xfId="0" applyFont="1" applyFill="1" applyBorder="1" applyAlignment="1">
      <alignment horizontal="center" vertical="center"/>
    </xf>
    <xf numFmtId="0" fontId="9" fillId="12" borderId="29" xfId="5" applyBorder="1" applyAlignment="1" applyProtection="1">
      <alignment horizontal="center" vertical="center"/>
      <protection hidden="1"/>
    </xf>
    <xf numFmtId="0" fontId="9" fillId="12" borderId="47" xfId="5" applyBorder="1" applyAlignment="1" applyProtection="1">
      <alignment horizontal="center" vertical="center"/>
      <protection hidden="1"/>
    </xf>
    <xf numFmtId="0" fontId="9" fillId="12" borderId="43" xfId="5" applyBorder="1" applyAlignment="1" applyProtection="1">
      <alignment horizontal="center" vertical="center"/>
      <protection hidden="1"/>
    </xf>
    <xf numFmtId="0" fontId="11" fillId="0" borderId="28" xfId="0" applyFont="1" applyBorder="1" applyAlignment="1">
      <alignment horizontal="center" vertical="center"/>
    </xf>
    <xf numFmtId="0" fontId="11" fillId="0" borderId="55" xfId="0" applyFont="1" applyBorder="1" applyAlignment="1">
      <alignment horizontal="center" vertical="center"/>
    </xf>
    <xf numFmtId="0" fontId="11" fillId="0" borderId="30" xfId="0" applyFont="1" applyBorder="1" applyAlignment="1">
      <alignment horizontal="right" vertical="center"/>
    </xf>
    <xf numFmtId="0" fontId="11" fillId="0" borderId="44" xfId="0" applyFont="1" applyBorder="1" applyAlignment="1">
      <alignment horizontal="right" vertical="center"/>
    </xf>
    <xf numFmtId="0" fontId="11" fillId="16" borderId="33" xfId="0" applyFont="1" applyFill="1" applyBorder="1" applyAlignment="1">
      <alignment horizontal="center" vertical="center"/>
    </xf>
    <xf numFmtId="0" fontId="11" fillId="16" borderId="37" xfId="0" applyFont="1" applyFill="1" applyBorder="1" applyAlignment="1">
      <alignment horizontal="center" vertical="center"/>
    </xf>
    <xf numFmtId="0" fontId="11" fillId="16" borderId="34" xfId="0" applyFont="1" applyFill="1" applyBorder="1" applyAlignment="1">
      <alignment horizontal="center" vertical="center"/>
    </xf>
    <xf numFmtId="0" fontId="9" fillId="12" borderId="33" xfId="5" applyFont="1" applyBorder="1" applyAlignment="1" applyProtection="1">
      <alignment horizontal="center" vertical="center"/>
      <protection hidden="1"/>
    </xf>
    <xf numFmtId="0" fontId="9" fillId="12" borderId="37" xfId="5" applyFont="1" applyBorder="1" applyAlignment="1" applyProtection="1">
      <alignment horizontal="center" vertical="center"/>
      <protection hidden="1"/>
    </xf>
    <xf numFmtId="0" fontId="9" fillId="12" borderId="34" xfId="5" applyFont="1" applyBorder="1" applyAlignment="1" applyProtection="1">
      <alignment horizontal="center" vertical="center"/>
      <protection hidden="1"/>
    </xf>
    <xf numFmtId="0" fontId="13" fillId="22" borderId="33" xfId="0" applyFont="1" applyFill="1" applyBorder="1" applyAlignment="1">
      <alignment horizontal="left" vertical="center" wrapText="1"/>
    </xf>
    <xf numFmtId="0" fontId="13" fillId="22" borderId="37" xfId="0" applyFont="1" applyFill="1" applyBorder="1" applyAlignment="1">
      <alignment horizontal="left" vertical="center" wrapText="1"/>
    </xf>
    <xf numFmtId="0" fontId="13" fillId="22" borderId="34" xfId="0" applyFont="1" applyFill="1" applyBorder="1" applyAlignment="1">
      <alignment horizontal="left" vertical="center" wrapText="1"/>
    </xf>
    <xf numFmtId="0" fontId="15" fillId="8" borderId="33" xfId="0" applyFont="1" applyFill="1" applyBorder="1" applyAlignment="1">
      <alignment horizontal="center" vertical="center"/>
    </xf>
    <xf numFmtId="0" fontId="15" fillId="8" borderId="37" xfId="0" applyFont="1" applyFill="1" applyBorder="1" applyAlignment="1">
      <alignment horizontal="center" vertical="center"/>
    </xf>
    <xf numFmtId="0" fontId="15" fillId="8" borderId="34" xfId="0" applyFont="1" applyFill="1" applyBorder="1" applyAlignment="1">
      <alignment horizontal="center" vertical="center"/>
    </xf>
    <xf numFmtId="0" fontId="11" fillId="2" borderId="33" xfId="0" applyFont="1" applyFill="1" applyBorder="1" applyAlignment="1">
      <alignment horizontal="center" vertical="center"/>
    </xf>
    <xf numFmtId="0" fontId="11" fillId="2" borderId="37" xfId="0" applyFont="1" applyFill="1" applyBorder="1" applyAlignment="1">
      <alignment horizontal="center" vertical="center"/>
    </xf>
    <xf numFmtId="0" fontId="11" fillId="2" borderId="34" xfId="0" applyFont="1" applyFill="1" applyBorder="1" applyAlignment="1">
      <alignment horizontal="center" vertical="center"/>
    </xf>
    <xf numFmtId="0" fontId="24" fillId="12" borderId="33" xfId="5" applyFont="1" applyBorder="1" applyAlignment="1" applyProtection="1">
      <alignment horizontal="center" vertical="center"/>
      <protection hidden="1"/>
    </xf>
    <xf numFmtId="0" fontId="24" fillId="12" borderId="37" xfId="5" applyFont="1" applyBorder="1" applyAlignment="1" applyProtection="1">
      <alignment horizontal="center" vertical="center"/>
      <protection hidden="1"/>
    </xf>
    <xf numFmtId="0" fontId="24" fillId="12" borderId="34" xfId="5" applyFont="1" applyBorder="1" applyAlignment="1" applyProtection="1">
      <alignment horizontal="center" vertical="center"/>
      <protection hidden="1"/>
    </xf>
    <xf numFmtId="0" fontId="13" fillId="0" borderId="29" xfId="0" applyFont="1" applyBorder="1" applyAlignment="1">
      <alignment vertical="center"/>
    </xf>
    <xf numFmtId="0" fontId="13" fillId="0" borderId="47" xfId="0" applyFont="1" applyBorder="1" applyAlignment="1">
      <alignment vertical="center"/>
    </xf>
    <xf numFmtId="0" fontId="13" fillId="0" borderId="43" xfId="0" applyFont="1" applyBorder="1" applyAlignment="1">
      <alignment vertical="center"/>
    </xf>
    <xf numFmtId="0" fontId="13" fillId="0" borderId="30" xfId="0" applyFont="1" applyBorder="1" applyAlignment="1">
      <alignment vertical="center"/>
    </xf>
    <xf numFmtId="0" fontId="13" fillId="0" borderId="48" xfId="0" applyFont="1" applyBorder="1" applyAlignment="1">
      <alignment vertical="center"/>
    </xf>
    <xf numFmtId="0" fontId="13" fillId="0" borderId="44" xfId="0" applyFont="1" applyBorder="1" applyAlignment="1">
      <alignment vertical="center"/>
    </xf>
    <xf numFmtId="0" fontId="9" fillId="12" borderId="30" xfId="5" applyBorder="1" applyAlignment="1" applyProtection="1">
      <alignment horizontal="right" vertical="center"/>
      <protection hidden="1"/>
    </xf>
    <xf numFmtId="0" fontId="9" fillId="12" borderId="48" xfId="5" applyBorder="1" applyAlignment="1" applyProtection="1">
      <alignment horizontal="right" vertical="center"/>
      <protection hidden="1"/>
    </xf>
    <xf numFmtId="0" fontId="9" fillId="12" borderId="44" xfId="5" applyBorder="1" applyAlignment="1" applyProtection="1">
      <alignment horizontal="right" vertical="center"/>
      <protection hidden="1"/>
    </xf>
    <xf numFmtId="0" fontId="24" fillId="12" borderId="26" xfId="5" applyFont="1" applyBorder="1" applyAlignment="1" applyProtection="1">
      <alignment horizontal="center" vertical="center"/>
      <protection hidden="1"/>
    </xf>
    <xf numFmtId="0" fontId="24" fillId="12" borderId="38" xfId="5" applyFont="1" applyBorder="1" applyAlignment="1" applyProtection="1">
      <alignment horizontal="center" vertical="center"/>
      <protection hidden="1"/>
    </xf>
    <xf numFmtId="0" fontId="24" fillId="12" borderId="35" xfId="5" applyFont="1" applyBorder="1" applyAlignment="1" applyProtection="1">
      <alignment horizontal="center" vertical="center"/>
      <protection hidden="1"/>
    </xf>
    <xf numFmtId="0" fontId="24" fillId="12" borderId="25" xfId="5" applyFont="1" applyBorder="1" applyAlignment="1" applyProtection="1">
      <alignment horizontal="center" vertical="center"/>
      <protection hidden="1"/>
    </xf>
    <xf numFmtId="0" fontId="24" fillId="12" borderId="39" xfId="5" applyFont="1" applyBorder="1" applyAlignment="1" applyProtection="1">
      <alignment horizontal="center" vertical="center"/>
      <protection hidden="1"/>
    </xf>
    <xf numFmtId="0" fontId="24" fillId="12" borderId="36" xfId="5" applyFont="1" applyBorder="1" applyAlignment="1" applyProtection="1">
      <alignment horizontal="center" vertical="center"/>
      <protection hidden="1"/>
    </xf>
    <xf numFmtId="0" fontId="9" fillId="12" borderId="28" xfId="5" applyBorder="1" applyAlignment="1" applyProtection="1">
      <alignment horizontal="right" vertical="center"/>
      <protection hidden="1"/>
    </xf>
    <xf numFmtId="0" fontId="9" fillId="12" borderId="54" xfId="5" applyBorder="1" applyAlignment="1" applyProtection="1">
      <alignment horizontal="right" vertical="center"/>
      <protection hidden="1"/>
    </xf>
    <xf numFmtId="0" fontId="9" fillId="12" borderId="55" xfId="5" applyBorder="1" applyAlignment="1" applyProtection="1">
      <alignment horizontal="right" vertical="center"/>
      <protection hidden="1"/>
    </xf>
    <xf numFmtId="0" fontId="9" fillId="12" borderId="29" xfId="5" applyBorder="1" applyAlignment="1" applyProtection="1">
      <alignment horizontal="right" vertical="center"/>
      <protection hidden="1"/>
    </xf>
    <xf numFmtId="0" fontId="9" fillId="12" borderId="47" xfId="5" applyBorder="1" applyAlignment="1" applyProtection="1">
      <alignment horizontal="right" vertical="center"/>
      <protection hidden="1"/>
    </xf>
    <xf numFmtId="0" fontId="9" fillId="12" borderId="43" xfId="5" applyBorder="1" applyAlignment="1" applyProtection="1">
      <alignment horizontal="right" vertical="center"/>
      <protection hidden="1"/>
    </xf>
    <xf numFmtId="0" fontId="9" fillId="12" borderId="33" xfId="5" applyBorder="1" applyAlignment="1" applyProtection="1">
      <alignment horizontal="center" vertical="center"/>
      <protection hidden="1"/>
    </xf>
    <xf numFmtId="0" fontId="9" fillId="12" borderId="37" xfId="5" applyBorder="1" applyAlignment="1" applyProtection="1">
      <alignment horizontal="center" vertical="center"/>
      <protection hidden="1"/>
    </xf>
    <xf numFmtId="0" fontId="9" fillId="12" borderId="34" xfId="5" applyBorder="1" applyAlignment="1" applyProtection="1">
      <alignment horizontal="center" vertical="center"/>
      <protection hidden="1"/>
    </xf>
    <xf numFmtId="0" fontId="13" fillId="23" borderId="33" xfId="0" applyFont="1" applyFill="1" applyBorder="1" applyAlignment="1">
      <alignment horizontal="left" vertical="center" wrapText="1"/>
    </xf>
    <xf numFmtId="0" fontId="13" fillId="23" borderId="37" xfId="0" applyFont="1" applyFill="1" applyBorder="1" applyAlignment="1">
      <alignment horizontal="left" vertical="center" wrapText="1"/>
    </xf>
    <xf numFmtId="0" fontId="13" fillId="23" borderId="34" xfId="0" applyFont="1" applyFill="1" applyBorder="1" applyAlignment="1">
      <alignment horizontal="left" vertical="center" wrapText="1"/>
    </xf>
    <xf numFmtId="0" fontId="11" fillId="11" borderId="33" xfId="0" applyFont="1" applyFill="1" applyBorder="1" applyAlignment="1">
      <alignment horizontal="center" vertical="center"/>
    </xf>
    <xf numFmtId="0" fontId="11" fillId="11" borderId="37" xfId="0" applyFont="1" applyFill="1" applyBorder="1" applyAlignment="1">
      <alignment horizontal="center" vertical="center"/>
    </xf>
    <xf numFmtId="0" fontId="11" fillId="11" borderId="34" xfId="0" applyFont="1" applyFill="1" applyBorder="1" applyAlignment="1">
      <alignment horizontal="center" vertical="center"/>
    </xf>
    <xf numFmtId="0" fontId="11" fillId="11" borderId="28" xfId="0" applyFont="1" applyFill="1" applyBorder="1" applyAlignment="1">
      <alignment horizontal="right" vertical="center"/>
    </xf>
    <xf numFmtId="0" fontId="11" fillId="11" borderId="54" xfId="0" applyFont="1" applyFill="1" applyBorder="1" applyAlignment="1">
      <alignment horizontal="right" vertical="center"/>
    </xf>
    <xf numFmtId="0" fontId="11" fillId="11" borderId="55" xfId="0" applyFont="1" applyFill="1" applyBorder="1" applyAlignment="1">
      <alignment horizontal="right" vertical="center"/>
    </xf>
    <xf numFmtId="0" fontId="11" fillId="11" borderId="29" xfId="0" applyFont="1" applyFill="1" applyBorder="1" applyAlignment="1">
      <alignment horizontal="right" vertical="center"/>
    </xf>
    <xf numFmtId="0" fontId="11" fillId="11" borderId="47" xfId="0" applyFont="1" applyFill="1" applyBorder="1" applyAlignment="1">
      <alignment horizontal="right" vertical="center"/>
    </xf>
    <xf numFmtId="0" fontId="11" fillId="11" borderId="43" xfId="0" applyFont="1" applyFill="1" applyBorder="1" applyAlignment="1">
      <alignment horizontal="right" vertical="center"/>
    </xf>
    <xf numFmtId="0" fontId="11" fillId="11" borderId="30" xfId="0" applyFont="1" applyFill="1" applyBorder="1" applyAlignment="1">
      <alignment horizontal="right" vertical="center"/>
    </xf>
    <xf numFmtId="0" fontId="11" fillId="11" borderId="48" xfId="0" applyFont="1" applyFill="1" applyBorder="1" applyAlignment="1">
      <alignment horizontal="right" vertical="center"/>
    </xf>
    <xf numFmtId="0" fontId="11" fillId="11" borderId="44" xfId="0" applyFont="1" applyFill="1" applyBorder="1" applyAlignment="1">
      <alignment horizontal="right" vertical="center"/>
    </xf>
    <xf numFmtId="0" fontId="11" fillId="11" borderId="27" xfId="0" applyFont="1" applyFill="1" applyBorder="1" applyAlignment="1">
      <alignment horizontal="center" vertical="center"/>
    </xf>
    <xf numFmtId="0" fontId="11" fillId="11" borderId="57" xfId="0" applyFont="1" applyFill="1" applyBorder="1" applyAlignment="1">
      <alignment horizontal="center" vertical="center"/>
    </xf>
    <xf numFmtId="0" fontId="11" fillId="11" borderId="27" xfId="0" applyFont="1" applyFill="1" applyBorder="1" applyAlignment="1">
      <alignment horizontal="center" vertical="center" wrapText="1"/>
    </xf>
    <xf numFmtId="0" fontId="11" fillId="11" borderId="57" xfId="0" applyFont="1" applyFill="1" applyBorder="1" applyAlignment="1">
      <alignment horizontal="center" vertical="center" wrapText="1"/>
    </xf>
    <xf numFmtId="0" fontId="13" fillId="0" borderId="28" xfId="0" applyFont="1" applyBorder="1" applyAlignment="1">
      <alignment horizontal="left" vertical="center"/>
    </xf>
    <xf numFmtId="0" fontId="13" fillId="0" borderId="54" xfId="0" applyFont="1" applyBorder="1" applyAlignment="1">
      <alignment horizontal="left" vertical="center"/>
    </xf>
    <xf numFmtId="0" fontId="13" fillId="0" borderId="55" xfId="0" applyFont="1" applyBorder="1" applyAlignment="1">
      <alignment horizontal="left" vertical="center"/>
    </xf>
    <xf numFmtId="164" fontId="13" fillId="0" borderId="14" xfId="1" applyNumberFormat="1" applyFont="1" applyBorder="1" applyAlignment="1" applyProtection="1">
      <alignment horizontal="center" vertical="center"/>
      <protection locked="0"/>
    </xf>
  </cellXfs>
  <cellStyles count="6">
    <cellStyle name="Currency" xfId="1" builtinId="4"/>
    <cellStyle name="Good" xfId="5" builtinId="26"/>
    <cellStyle name="Normal" xfId="0" builtinId="0"/>
    <cellStyle name="Normal 2" xfId="4"/>
    <cellStyle name="Normal 2 2" xfId="2"/>
    <cellStyle name="Percent" xfId="3" builtinId="5"/>
  </cellStyles>
  <dxfs count="0"/>
  <tableStyles count="0" defaultTableStyle="TableStyleMedium9" defaultPivotStyle="PivotStyleLight16"/>
  <colors>
    <mruColors>
      <color rgb="FF99FF99"/>
      <color rgb="FF699BFF"/>
      <color rgb="FF2F74FF"/>
      <color rgb="FF4CCC64"/>
      <color rgb="FFAFD9C0"/>
      <color rgb="FFF7B7F4"/>
      <color rgb="FFC6EFCE"/>
      <color rgb="FFE1F5D9"/>
      <color rgb="FFF7E1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0.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9.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chartsheet" Target="chartsheets/sheet2.xml"/><Relationship Id="rId4" Type="http://schemas.openxmlformats.org/officeDocument/2006/relationships/worksheet" Target="worksheets/sheet4.xml"/><Relationship Id="rId9" Type="http://schemas.openxmlformats.org/officeDocument/2006/relationships/chartsheet" Target="chartsheets/sheet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'Part 8'!$B$12:$K$12</c:f>
              <c:strCache>
                <c:ptCount val="10"/>
                <c:pt idx="0">
                  <c:v>Totals</c:v>
                </c:pt>
                <c:pt idx="4">
                  <c:v>$6,647.00</c:v>
                </c:pt>
                <c:pt idx="5">
                  <c:v>xxx</c:v>
                </c:pt>
                <c:pt idx="6">
                  <c:v>xxx</c:v>
                </c:pt>
                <c:pt idx="7">
                  <c:v>xxx</c:v>
                </c:pt>
                <c:pt idx="8">
                  <c:v>xxx</c:v>
                </c:pt>
                <c:pt idx="9">
                  <c:v>xxx</c:v>
                </c:pt>
              </c:strCache>
            </c:strRef>
          </c:tx>
          <c:spPr>
            <a:solidFill>
              <a:schemeClr val="accent1"/>
            </a:solidFill>
            <a:ln>
              <a:noFill/>
            </a:ln>
            <a:effectLst/>
          </c:spPr>
          <c:invertIfNegative val="0"/>
          <c:cat>
            <c:strRef>
              <c:f>'Part 8'!$L$3:$L$11</c:f>
              <c:strCache>
                <c:ptCount val="9"/>
                <c:pt idx="1">
                  <c:v>Net Pay</c:v>
                </c:pt>
                <c:pt idx="2">
                  <c:v>xxx</c:v>
                </c:pt>
                <c:pt idx="3">
                  <c:v>xxx</c:v>
                </c:pt>
                <c:pt idx="4">
                  <c:v>xxx</c:v>
                </c:pt>
                <c:pt idx="5">
                  <c:v>xxx</c:v>
                </c:pt>
                <c:pt idx="6">
                  <c:v>xxx</c:v>
                </c:pt>
                <c:pt idx="7">
                  <c:v>xxx</c:v>
                </c:pt>
                <c:pt idx="8">
                  <c:v>xxx</c:v>
                </c:pt>
              </c:strCache>
            </c:strRef>
          </c:cat>
          <c:val>
            <c:numRef>
              <c:f>'Part 8'!$L$12</c:f>
              <c:numCache>
                <c:formatCode>"$"#,##0.00</c:formatCode>
                <c:ptCount val="1"/>
                <c:pt idx="0">
                  <c:v>0</c:v>
                </c:pt>
              </c:numCache>
            </c:numRef>
          </c:val>
        </c:ser>
        <c:dLbls>
          <c:showLegendKey val="0"/>
          <c:showVal val="0"/>
          <c:showCatName val="0"/>
          <c:showSerName val="0"/>
          <c:showPercent val="0"/>
          <c:showBubbleSize val="0"/>
        </c:dLbls>
        <c:gapWidth val="219"/>
        <c:overlap val="-27"/>
        <c:axId val="376139184"/>
        <c:axId val="376135264"/>
      </c:barChart>
      <c:catAx>
        <c:axId val="37613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135264"/>
        <c:crosses val="autoZero"/>
        <c:auto val="1"/>
        <c:lblAlgn val="ctr"/>
        <c:lblOffset val="100"/>
        <c:noMultiLvlLbl val="0"/>
      </c:catAx>
      <c:valAx>
        <c:axId val="3761352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139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'Part 8'!$B$12:$K$12</c:f>
              <c:strCache>
                <c:ptCount val="10"/>
                <c:pt idx="0">
                  <c:v>Totals</c:v>
                </c:pt>
                <c:pt idx="4">
                  <c:v>$6,647.00</c:v>
                </c:pt>
                <c:pt idx="5">
                  <c:v>xxx</c:v>
                </c:pt>
                <c:pt idx="6">
                  <c:v>xxx</c:v>
                </c:pt>
                <c:pt idx="7">
                  <c:v>xxx</c:v>
                </c:pt>
                <c:pt idx="8">
                  <c:v>xxx</c:v>
                </c:pt>
                <c:pt idx="9">
                  <c:v>xxx</c:v>
                </c:pt>
              </c:strCache>
            </c:strRef>
          </c:tx>
          <c:spPr>
            <a:solidFill>
              <a:schemeClr val="accent1"/>
            </a:solidFill>
            <a:ln>
              <a:noFill/>
            </a:ln>
            <a:effectLst/>
          </c:spPr>
          <c:invertIfNegative val="0"/>
          <c:cat>
            <c:strRef>
              <c:f>'Part 8'!$L$3:$L$11</c:f>
              <c:strCache>
                <c:ptCount val="9"/>
                <c:pt idx="1">
                  <c:v>Net Pay</c:v>
                </c:pt>
                <c:pt idx="2">
                  <c:v>xxx</c:v>
                </c:pt>
                <c:pt idx="3">
                  <c:v>xxx</c:v>
                </c:pt>
                <c:pt idx="4">
                  <c:v>xxx</c:v>
                </c:pt>
                <c:pt idx="5">
                  <c:v>xxx</c:v>
                </c:pt>
                <c:pt idx="6">
                  <c:v>xxx</c:v>
                </c:pt>
                <c:pt idx="7">
                  <c:v>xxx</c:v>
                </c:pt>
                <c:pt idx="8">
                  <c:v>xxx</c:v>
                </c:pt>
              </c:strCache>
            </c:strRef>
          </c:cat>
          <c:val>
            <c:numRef>
              <c:f>'Part 8'!$L$12</c:f>
              <c:numCache>
                <c:formatCode>"$"#,##0.00</c:formatCode>
                <c:ptCount val="1"/>
                <c:pt idx="0">
                  <c:v>0</c:v>
                </c:pt>
              </c:numCache>
            </c:numRef>
          </c:val>
        </c:ser>
        <c:dLbls>
          <c:showLegendKey val="0"/>
          <c:showVal val="0"/>
          <c:showCatName val="0"/>
          <c:showSerName val="0"/>
          <c:showPercent val="0"/>
          <c:showBubbleSize val="0"/>
        </c:dLbls>
        <c:gapWidth val="219"/>
        <c:overlap val="-27"/>
        <c:axId val="376142712"/>
        <c:axId val="376138400"/>
      </c:barChart>
      <c:catAx>
        <c:axId val="376142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138400"/>
        <c:crosses val="autoZero"/>
        <c:auto val="1"/>
        <c:lblAlgn val="ctr"/>
        <c:lblOffset val="100"/>
        <c:noMultiLvlLbl val="0"/>
      </c:catAx>
      <c:valAx>
        <c:axId val="3761384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142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sheetViews>
    <sheetView zoomScale="119"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119"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8668550" cy="629130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8550" cy="629130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25.bin"/><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4:CJA296"/>
  <sheetViews>
    <sheetView showGridLines="0" workbookViewId="0">
      <selection activeCell="Q9" sqref="Q9"/>
    </sheetView>
  </sheetViews>
  <sheetFormatPr defaultColWidth="9.140625" defaultRowHeight="14.25" x14ac:dyDescent="0.25"/>
  <cols>
    <col min="1" max="6" width="9.140625" style="331"/>
    <col min="7" max="7" width="9.140625" style="331" customWidth="1"/>
    <col min="8" max="8" width="5" style="331" customWidth="1"/>
    <col min="9" max="9" width="6" style="331" customWidth="1"/>
    <col min="10" max="10" width="16.42578125" style="332" customWidth="1"/>
    <col min="11" max="11" width="4.5703125" style="332" customWidth="1"/>
    <col min="12" max="12" width="22.28515625" style="332" customWidth="1"/>
    <col min="13" max="17" width="9.140625" style="331"/>
    <col min="18" max="18" width="4.7109375" style="331" customWidth="1"/>
    <col min="19" max="16384" width="9.140625" style="331"/>
  </cols>
  <sheetData>
    <row r="4" spans="9:13" ht="15" thickBot="1" x14ac:dyDescent="0.3"/>
    <row r="5" spans="9:13" s="333" customFormat="1" ht="15" customHeight="1" x14ac:dyDescent="0.25">
      <c r="J5" s="356" t="s">
        <v>169</v>
      </c>
      <c r="K5" s="357"/>
      <c r="L5" s="358"/>
    </row>
    <row r="6" spans="9:13" s="333" customFormat="1" ht="15" customHeight="1" x14ac:dyDescent="0.25">
      <c r="J6" s="334" t="s">
        <v>123</v>
      </c>
      <c r="K6" s="335">
        <v>5</v>
      </c>
      <c r="L6" s="336" t="str">
        <f ca="1">-4&amp;RIGHT(YEAR(TODAY()),2)&amp;IF(MONTH(TODAY())&lt;=4,2,IF(AND(MONTH(TODAY())&lt;=8,DAY(TODAY()&lt;20)),5,8))</f>
        <v>-4162</v>
      </c>
    </row>
    <row r="7" spans="9:13" s="333" customFormat="1" ht="15" customHeight="1" thickBot="1" x14ac:dyDescent="0.3">
      <c r="J7" s="359" t="s">
        <v>124</v>
      </c>
      <c r="K7" s="360"/>
      <c r="L7" s="361"/>
    </row>
    <row r="8" spans="9:13" ht="15" customHeight="1" thickBot="1" x14ac:dyDescent="0.3"/>
    <row r="9" spans="9:13" ht="15" customHeight="1" thickBot="1" x14ac:dyDescent="0.3">
      <c r="J9" s="362" t="s">
        <v>165</v>
      </c>
      <c r="K9" s="363"/>
      <c r="L9" s="364"/>
    </row>
    <row r="10" spans="9:13" ht="15" customHeight="1" thickBot="1" x14ac:dyDescent="0.3">
      <c r="J10" s="365" t="s">
        <v>73</v>
      </c>
      <c r="K10" s="366"/>
      <c r="L10" s="337" t="s">
        <v>74</v>
      </c>
    </row>
    <row r="11" spans="9:13" ht="18" customHeight="1" x14ac:dyDescent="0.25">
      <c r="I11" s="338">
        <v>1</v>
      </c>
      <c r="J11" s="367" t="s">
        <v>171</v>
      </c>
      <c r="K11" s="368"/>
      <c r="L11" s="339" t="s">
        <v>172</v>
      </c>
    </row>
    <row r="12" spans="9:13" ht="18" customHeight="1" x14ac:dyDescent="0.25">
      <c r="I12" s="338">
        <v>2</v>
      </c>
      <c r="J12" s="369" t="s">
        <v>173</v>
      </c>
      <c r="K12" s="370"/>
      <c r="L12" s="340" t="s">
        <v>174</v>
      </c>
      <c r="M12" s="341"/>
    </row>
    <row r="13" spans="9:13" ht="18" customHeight="1" x14ac:dyDescent="0.25">
      <c r="I13" s="338">
        <v>3</v>
      </c>
      <c r="J13" s="346"/>
      <c r="K13" s="347"/>
      <c r="L13" s="342"/>
      <c r="M13" s="343"/>
    </row>
    <row r="14" spans="9:13" ht="18" customHeight="1" thickBot="1" x14ac:dyDescent="0.3">
      <c r="I14" s="338">
        <v>4</v>
      </c>
      <c r="J14" s="348"/>
      <c r="K14" s="349"/>
      <c r="L14" s="344"/>
      <c r="M14" s="343"/>
    </row>
    <row r="15" spans="9:13" ht="15" thickBot="1" x14ac:dyDescent="0.3"/>
    <row r="16" spans="9:13" ht="25.5" x14ac:dyDescent="0.5">
      <c r="K16" s="350" t="s">
        <v>166</v>
      </c>
      <c r="L16" s="351"/>
    </row>
    <row r="17" spans="10:13" ht="14.25" customHeight="1" x14ac:dyDescent="0.25">
      <c r="K17" s="352">
        <v>1</v>
      </c>
      <c r="L17" s="353" t="s">
        <v>167</v>
      </c>
    </row>
    <row r="18" spans="10:13" ht="14.25" customHeight="1" x14ac:dyDescent="0.25">
      <c r="K18" s="352"/>
      <c r="L18" s="353"/>
    </row>
    <row r="19" spans="10:13" ht="15" customHeight="1" x14ac:dyDescent="0.25">
      <c r="J19" s="331"/>
      <c r="K19" s="352">
        <v>0</v>
      </c>
      <c r="L19" s="353" t="s">
        <v>168</v>
      </c>
    </row>
    <row r="20" spans="10:13" ht="15" customHeight="1" thickBot="1" x14ac:dyDescent="0.3">
      <c r="J20" s="331"/>
      <c r="K20" s="354"/>
      <c r="L20" s="355"/>
    </row>
    <row r="21" spans="10:13" ht="15" customHeight="1" x14ac:dyDescent="0.25">
      <c r="J21" s="331"/>
      <c r="K21" s="331"/>
      <c r="L21" s="345"/>
      <c r="M21" s="345"/>
    </row>
    <row r="296" spans="2289:2289" x14ac:dyDescent="0.25">
      <c r="CJA296" s="331" t="s">
        <v>95</v>
      </c>
    </row>
  </sheetData>
  <sheetProtection algorithmName="SHA-512" hashValue="zFRqzpOURVcu1OFH8L3HjkpudYkTik9hy5H2rBdlQtjSM1mIB1543M9cymtxMPjOHYK6Tyhp6XCx1V5fQgF9Rg==" saltValue="nl5/7IzuvDXy5BeFVsULjg==" spinCount="100000" sheet="1" objects="1" scenarios="1"/>
  <mergeCells count="13">
    <mergeCell ref="K19:K20"/>
    <mergeCell ref="L19:L20"/>
    <mergeCell ref="J5:L5"/>
    <mergeCell ref="J7:L7"/>
    <mergeCell ref="J9:L9"/>
    <mergeCell ref="J10:K10"/>
    <mergeCell ref="J11:K11"/>
    <mergeCell ref="J12:K12"/>
    <mergeCell ref="J13:K13"/>
    <mergeCell ref="J14:K14"/>
    <mergeCell ref="K16:L16"/>
    <mergeCell ref="K17:K18"/>
    <mergeCell ref="L17:L18"/>
  </mergeCells>
  <dataValidations count="9">
    <dataValidation allowBlank="1" showInputMessage="1" showErrorMessage="1" promptTitle="Student #4 First Name" prompt="Please enter the FIRST name of another student whom you collaboarated with on this assignment.  Remember, you can only work with your peers from this section only." sqref="L14"/>
    <dataValidation allowBlank="1" showInputMessage="1" showErrorMessage="1" promptTitle="Student #4 Last Name" prompt="Please enter the LAST name of another student whom you collaboarated with on this assignment.  Remember, you can only work with your peers from this section only." sqref="J14:K14"/>
    <dataValidation allowBlank="1" showInputMessage="1" showErrorMessage="1" promptTitle="Student #3 First Name" prompt="Please enter the FIRST name of another student whom you collaboarated with on this assignment.  Remember, you can only work with your peers from this section only." sqref="L13"/>
    <dataValidation allowBlank="1" showInputMessage="1" showErrorMessage="1" promptTitle="Student #3 Last Name" prompt="Please enter the LAST name of another student whom you collaboarated with on this assignment.  Remember, you can only work with your peers from this section only." sqref="J13:K13"/>
    <dataValidation allowBlank="1" showInputMessage="1" showErrorMessage="1" promptTitle="Student #2 First Name" prompt="Please enter the FIRST name of another student whom you collaboarated with on this assignment.  Remember, you can only work with your peers from this section only." sqref="L12"/>
    <dataValidation allowBlank="1" showInputMessage="1" showErrorMessage="1" promptTitle="Student #2 Last Name" prompt="Please enter the LAST name of another student whom you collaboarated with on this assignment.  Remember, you can only work with your peers from this section only." sqref="J12:K12"/>
    <dataValidation allowBlank="1" showInputMessage="1" showErrorMessage="1" promptTitle="Student #1 First Name" prompt="Please enter your FIRST name here." sqref="L11"/>
    <dataValidation allowBlank="1" showInputMessage="1" showErrorMessage="1" promptTitle="Student #1 Last Name" prompt="Please enter your LAST name here." sqref="J11:K11"/>
    <dataValidation type="whole" showInputMessage="1" showErrorMessage="1" promptTitle="Course Section Number" prompt="Please enter the CIS300 section for which you are enrolled." sqref="K6">
      <formula1>1</formula1>
      <formula2>80</formula2>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2" id="{60073208-8BE9-45F9-ACD6-1E76677E8EE4}">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K17</xm:sqref>
        </x14:conditionalFormatting>
        <x14:conditionalFormatting xmlns:xm="http://schemas.microsoft.com/office/excel/2006/main">
          <x14:cfRule type="iconSet" priority="1" id="{AA31443D-BD13-43D5-94F6-69B386160436}">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K19</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B1:M37"/>
  <sheetViews>
    <sheetView showGridLines="0" zoomScaleNormal="100" workbookViewId="0">
      <selection activeCell="E5" sqref="E5"/>
    </sheetView>
  </sheetViews>
  <sheetFormatPr defaultColWidth="9.140625" defaultRowHeight="16.5" x14ac:dyDescent="0.3"/>
  <cols>
    <col min="1" max="1" width="9.140625" style="8"/>
    <col min="2" max="2" width="20" style="8" bestFit="1" customWidth="1"/>
    <col min="3" max="9" width="15.7109375" style="8" customWidth="1"/>
    <col min="10" max="16384" width="9.140625" style="8"/>
  </cols>
  <sheetData>
    <row r="1" spans="2:13" ht="247.5" customHeight="1" thickBot="1" x14ac:dyDescent="0.35">
      <c r="B1" s="490" t="s">
        <v>144</v>
      </c>
      <c r="C1" s="491"/>
      <c r="D1" s="491"/>
      <c r="E1" s="491"/>
      <c r="F1" s="491"/>
      <c r="G1" s="491"/>
      <c r="H1" s="491"/>
      <c r="I1" s="491"/>
      <c r="J1" s="491"/>
      <c r="K1" s="491"/>
      <c r="L1" s="491"/>
      <c r="M1" s="492"/>
    </row>
    <row r="2" spans="2:13" ht="17.25" thickBot="1" x14ac:dyDescent="0.35"/>
    <row r="3" spans="2:13" ht="30" customHeight="1" thickBot="1" x14ac:dyDescent="0.35">
      <c r="B3" s="457" t="s">
        <v>122</v>
      </c>
      <c r="C3" s="458"/>
      <c r="D3" s="458"/>
      <c r="E3" s="458"/>
      <c r="F3" s="458"/>
      <c r="G3" s="458"/>
      <c r="H3" s="458"/>
      <c r="I3" s="459"/>
    </row>
    <row r="4" spans="2:13" ht="30" customHeight="1" thickBot="1" x14ac:dyDescent="0.35">
      <c r="B4" s="181" t="s">
        <v>94</v>
      </c>
      <c r="C4" s="182" t="s">
        <v>64</v>
      </c>
      <c r="D4" s="182" t="s">
        <v>65</v>
      </c>
      <c r="E4" s="182" t="s">
        <v>145</v>
      </c>
      <c r="F4" s="182" t="s">
        <v>66</v>
      </c>
      <c r="G4" s="182" t="s">
        <v>67</v>
      </c>
      <c r="H4" s="182" t="s">
        <v>68</v>
      </c>
      <c r="I4" s="183" t="s">
        <v>69</v>
      </c>
    </row>
    <row r="5" spans="2:13" ht="30" customHeight="1" x14ac:dyDescent="0.3">
      <c r="B5" s="184" t="s">
        <v>112</v>
      </c>
      <c r="C5" s="185" t="s">
        <v>105</v>
      </c>
      <c r="D5" s="186">
        <v>3.25</v>
      </c>
      <c r="E5" s="187" t="s">
        <v>96</v>
      </c>
      <c r="F5" s="188" t="s">
        <v>96</v>
      </c>
      <c r="G5" s="188" t="s">
        <v>96</v>
      </c>
      <c r="H5" s="188" t="s">
        <v>96</v>
      </c>
      <c r="I5" s="189" t="s">
        <v>96</v>
      </c>
    </row>
    <row r="6" spans="2:13" ht="30" customHeight="1" x14ac:dyDescent="0.3">
      <c r="B6" s="94" t="s">
        <v>112</v>
      </c>
      <c r="C6" s="190" t="s">
        <v>106</v>
      </c>
      <c r="D6" s="191">
        <v>1.25</v>
      </c>
      <c r="E6" s="192" t="s">
        <v>96</v>
      </c>
      <c r="F6" s="193" t="s">
        <v>96</v>
      </c>
      <c r="G6" s="193" t="s">
        <v>96</v>
      </c>
      <c r="H6" s="193" t="s">
        <v>96</v>
      </c>
      <c r="I6" s="194" t="s">
        <v>96</v>
      </c>
    </row>
    <row r="7" spans="2:13" ht="30" customHeight="1" x14ac:dyDescent="0.3">
      <c r="B7" s="94" t="s">
        <v>118</v>
      </c>
      <c r="C7" s="190" t="s">
        <v>107</v>
      </c>
      <c r="D7" s="191">
        <v>2</v>
      </c>
      <c r="E7" s="192" t="s">
        <v>96</v>
      </c>
      <c r="F7" s="193" t="s">
        <v>96</v>
      </c>
      <c r="G7" s="193" t="s">
        <v>96</v>
      </c>
      <c r="H7" s="193" t="s">
        <v>96</v>
      </c>
      <c r="I7" s="194" t="s">
        <v>96</v>
      </c>
    </row>
    <row r="8" spans="2:13" ht="30" customHeight="1" x14ac:dyDescent="0.3">
      <c r="B8" s="94" t="s">
        <v>119</v>
      </c>
      <c r="C8" s="190" t="s">
        <v>108</v>
      </c>
      <c r="D8" s="191">
        <v>2.75</v>
      </c>
      <c r="E8" s="192" t="s">
        <v>96</v>
      </c>
      <c r="F8" s="193" t="s">
        <v>96</v>
      </c>
      <c r="G8" s="193" t="s">
        <v>96</v>
      </c>
      <c r="H8" s="193" t="s">
        <v>96</v>
      </c>
      <c r="I8" s="194" t="s">
        <v>96</v>
      </c>
    </row>
    <row r="9" spans="2:13" ht="30" customHeight="1" x14ac:dyDescent="0.3">
      <c r="B9" s="94" t="s">
        <v>120</v>
      </c>
      <c r="C9" s="190" t="s">
        <v>109</v>
      </c>
      <c r="D9" s="191">
        <v>2.5</v>
      </c>
      <c r="E9" s="192" t="s">
        <v>96</v>
      </c>
      <c r="F9" s="193" t="s">
        <v>96</v>
      </c>
      <c r="G9" s="193" t="s">
        <v>96</v>
      </c>
      <c r="H9" s="193" t="s">
        <v>96</v>
      </c>
      <c r="I9" s="194" t="s">
        <v>96</v>
      </c>
    </row>
    <row r="10" spans="2:13" ht="30" customHeight="1" x14ac:dyDescent="0.3">
      <c r="B10" s="94" t="s">
        <v>118</v>
      </c>
      <c r="C10" s="190" t="s">
        <v>110</v>
      </c>
      <c r="D10" s="191">
        <v>1.25</v>
      </c>
      <c r="E10" s="192" t="s">
        <v>96</v>
      </c>
      <c r="F10" s="193" t="s">
        <v>96</v>
      </c>
      <c r="G10" s="193" t="s">
        <v>96</v>
      </c>
      <c r="H10" s="193" t="s">
        <v>96</v>
      </c>
      <c r="I10" s="194" t="s">
        <v>96</v>
      </c>
    </row>
    <row r="11" spans="2:13" ht="30" customHeight="1" thickBot="1" x14ac:dyDescent="0.35">
      <c r="B11" s="97" t="s">
        <v>121</v>
      </c>
      <c r="C11" s="195" t="s">
        <v>111</v>
      </c>
      <c r="D11" s="196">
        <v>1.25</v>
      </c>
      <c r="E11" s="197" t="s">
        <v>96</v>
      </c>
      <c r="F11" s="198" t="s">
        <v>96</v>
      </c>
      <c r="G11" s="198" t="s">
        <v>96</v>
      </c>
      <c r="H11" s="198" t="s">
        <v>96</v>
      </c>
      <c r="I11" s="199" t="s">
        <v>96</v>
      </c>
    </row>
    <row r="12" spans="2:13" ht="30" customHeight="1" x14ac:dyDescent="0.3">
      <c r="B12" s="496" t="s">
        <v>60</v>
      </c>
      <c r="C12" s="497"/>
      <c r="D12" s="498"/>
      <c r="E12" s="200" t="s">
        <v>96</v>
      </c>
      <c r="F12" s="201" t="s">
        <v>96</v>
      </c>
      <c r="G12" s="201" t="s">
        <v>96</v>
      </c>
      <c r="H12" s="201" t="s">
        <v>96</v>
      </c>
      <c r="I12" s="202" t="s">
        <v>96</v>
      </c>
    </row>
    <row r="13" spans="2:13" ht="30" customHeight="1" x14ac:dyDescent="0.3">
      <c r="B13" s="499" t="s">
        <v>103</v>
      </c>
      <c r="C13" s="500"/>
      <c r="D13" s="501"/>
      <c r="E13" s="192" t="s">
        <v>96</v>
      </c>
      <c r="F13" s="193" t="s">
        <v>96</v>
      </c>
      <c r="G13" s="193" t="s">
        <v>96</v>
      </c>
      <c r="H13" s="193" t="s">
        <v>96</v>
      </c>
      <c r="I13" s="194" t="s">
        <v>96</v>
      </c>
    </row>
    <row r="14" spans="2:13" ht="30" customHeight="1" thickBot="1" x14ac:dyDescent="0.35">
      <c r="B14" s="502" t="s">
        <v>104</v>
      </c>
      <c r="C14" s="503"/>
      <c r="D14" s="504"/>
      <c r="E14" s="203" t="s">
        <v>96</v>
      </c>
      <c r="F14" s="204" t="s">
        <v>96</v>
      </c>
      <c r="G14" s="204" t="s">
        <v>96</v>
      </c>
      <c r="H14" s="204" t="s">
        <v>96</v>
      </c>
      <c r="I14" s="205" t="s">
        <v>96</v>
      </c>
    </row>
    <row r="15" spans="2:13" ht="30" customHeight="1" thickBot="1" x14ac:dyDescent="0.35"/>
    <row r="16" spans="2:13" ht="30" customHeight="1" thickBot="1" x14ac:dyDescent="0.35">
      <c r="B16" s="505" t="s">
        <v>94</v>
      </c>
      <c r="C16" s="507" t="s">
        <v>116</v>
      </c>
      <c r="D16" s="507" t="s">
        <v>117</v>
      </c>
      <c r="F16" s="493" t="s">
        <v>70</v>
      </c>
      <c r="G16" s="494"/>
      <c r="H16" s="494"/>
      <c r="I16" s="495"/>
    </row>
    <row r="17" spans="2:9" ht="30" customHeight="1" thickBot="1" x14ac:dyDescent="0.35">
      <c r="B17" s="506"/>
      <c r="C17" s="506"/>
      <c r="D17" s="508"/>
      <c r="F17" s="509" t="s">
        <v>113</v>
      </c>
      <c r="G17" s="510"/>
      <c r="H17" s="511"/>
      <c r="I17" s="143">
        <v>10000</v>
      </c>
    </row>
    <row r="18" spans="2:9" ht="30" customHeight="1" x14ac:dyDescent="0.3">
      <c r="B18" s="144" t="s">
        <v>112</v>
      </c>
      <c r="C18" s="208">
        <v>3449</v>
      </c>
      <c r="D18" s="206">
        <v>5732</v>
      </c>
      <c r="F18" s="466" t="s">
        <v>114</v>
      </c>
      <c r="G18" s="467"/>
      <c r="H18" s="468"/>
      <c r="I18" s="146">
        <v>4.5</v>
      </c>
    </row>
    <row r="19" spans="2:9" ht="30" customHeight="1" x14ac:dyDescent="0.3">
      <c r="B19" s="144" t="s">
        <v>118</v>
      </c>
      <c r="C19" s="208">
        <v>2174</v>
      </c>
      <c r="D19" s="206">
        <v>5732</v>
      </c>
      <c r="F19" s="466" t="s">
        <v>115</v>
      </c>
      <c r="G19" s="467"/>
      <c r="H19" s="468"/>
      <c r="I19" s="146">
        <v>9.99</v>
      </c>
    </row>
    <row r="20" spans="2:9" ht="30" customHeight="1" x14ac:dyDescent="0.3">
      <c r="B20" s="144" t="s">
        <v>120</v>
      </c>
      <c r="C20" s="208">
        <v>3449</v>
      </c>
      <c r="D20" s="206">
        <v>7937</v>
      </c>
      <c r="F20" s="466" t="s">
        <v>71</v>
      </c>
      <c r="G20" s="467"/>
      <c r="H20" s="468"/>
      <c r="I20" s="154">
        <v>0.2</v>
      </c>
    </row>
    <row r="21" spans="2:9" ht="30" customHeight="1" thickBot="1" x14ac:dyDescent="0.35">
      <c r="B21" s="210" t="s">
        <v>121</v>
      </c>
      <c r="C21" s="211">
        <v>2113</v>
      </c>
      <c r="D21" s="212">
        <v>3500</v>
      </c>
      <c r="F21" s="469" t="s">
        <v>72</v>
      </c>
      <c r="G21" s="470"/>
      <c r="H21" s="471"/>
      <c r="I21" s="156">
        <v>0.1</v>
      </c>
    </row>
    <row r="22" spans="2:9" ht="30" customHeight="1" thickBot="1" x14ac:dyDescent="0.35">
      <c r="B22" s="147" t="s">
        <v>119</v>
      </c>
      <c r="C22" s="209">
        <v>2610</v>
      </c>
      <c r="D22" s="207">
        <v>4079</v>
      </c>
    </row>
    <row r="23" spans="2:9" ht="17.25" thickBot="1" x14ac:dyDescent="0.35"/>
    <row r="24" spans="2:9" x14ac:dyDescent="0.3">
      <c r="B24" s="475" t="s">
        <v>99</v>
      </c>
      <c r="C24" s="476"/>
      <c r="D24" s="476"/>
      <c r="E24" s="476"/>
      <c r="F24" s="476"/>
      <c r="G24" s="476"/>
      <c r="H24" s="476"/>
      <c r="I24" s="477"/>
    </row>
    <row r="25" spans="2:9" ht="17.25" thickBot="1" x14ac:dyDescent="0.35">
      <c r="B25" s="478"/>
      <c r="C25" s="479"/>
      <c r="D25" s="479"/>
      <c r="E25" s="479"/>
      <c r="F25" s="479"/>
      <c r="G25" s="479"/>
      <c r="H25" s="479"/>
      <c r="I25" s="480"/>
    </row>
    <row r="26" spans="2:9" ht="30" customHeight="1" thickBot="1" x14ac:dyDescent="0.35">
      <c r="B26" s="487" t="str">
        <f>B3</f>
        <v>Fuel Estimates of Popular Flights</v>
      </c>
      <c r="C26" s="488"/>
      <c r="D26" s="488"/>
      <c r="E26" s="488"/>
      <c r="F26" s="488"/>
      <c r="G26" s="488"/>
      <c r="H26" s="488"/>
      <c r="I26" s="489"/>
    </row>
    <row r="27" spans="2:9" ht="30" customHeight="1" thickBot="1" x14ac:dyDescent="0.35">
      <c r="B27" s="213" t="s">
        <v>94</v>
      </c>
      <c r="C27" s="214" t="s">
        <v>64</v>
      </c>
      <c r="D27" s="214" t="s">
        <v>65</v>
      </c>
      <c r="E27" s="214" t="s">
        <v>145</v>
      </c>
      <c r="F27" s="214" t="s">
        <v>66</v>
      </c>
      <c r="G27" s="214" t="s">
        <v>67</v>
      </c>
      <c r="H27" s="214" t="s">
        <v>68</v>
      </c>
      <c r="I27" s="215" t="s">
        <v>69</v>
      </c>
    </row>
    <row r="28" spans="2:9" ht="30" customHeight="1" x14ac:dyDescent="0.3">
      <c r="B28" s="216" t="str">
        <f>B5</f>
        <v>A-320</v>
      </c>
      <c r="C28" s="217" t="str">
        <f t="shared" ref="C28:D28" si="0">C5</f>
        <v>LGA - MIA</v>
      </c>
      <c r="D28" s="218">
        <f t="shared" si="0"/>
        <v>3.25</v>
      </c>
      <c r="E28" s="228">
        <f>VLOOKUP(B28,$B$18:$D$22,3,FALSE)*D28</f>
        <v>18629</v>
      </c>
      <c r="F28" s="229">
        <f>ROUND(E28*$I$20,0)</f>
        <v>3726</v>
      </c>
      <c r="G28" s="229">
        <f>ROUND(E28*$I$21,0)</f>
        <v>1863</v>
      </c>
      <c r="H28" s="229">
        <f>SUM(E28:G28)</f>
        <v>24218</v>
      </c>
      <c r="I28" s="225">
        <f>IF(E28&gt;=$I$17,H28*$I$18,H28*$I$19)</f>
        <v>108981</v>
      </c>
    </row>
    <row r="29" spans="2:9" ht="30" customHeight="1" x14ac:dyDescent="0.3">
      <c r="B29" s="219" t="str">
        <f t="shared" ref="B29:D29" si="1">B6</f>
        <v>A-320</v>
      </c>
      <c r="C29" s="220" t="str">
        <f t="shared" si="1"/>
        <v>LAX - SFO</v>
      </c>
      <c r="D29" s="221">
        <f t="shared" si="1"/>
        <v>1.25</v>
      </c>
      <c r="E29" s="230">
        <f t="shared" ref="E29:E34" si="2">VLOOKUP(B29,$B$18:$D$22,3,FALSE)*D29</f>
        <v>7165</v>
      </c>
      <c r="F29" s="231">
        <f t="shared" ref="F29:F34" si="3">ROUND(E29*$I$20,0)</f>
        <v>1433</v>
      </c>
      <c r="G29" s="231">
        <f t="shared" ref="G29:G34" si="4">ROUND(E29*$I$21,0)</f>
        <v>717</v>
      </c>
      <c r="H29" s="231">
        <f t="shared" ref="H29:H34" si="5">SUM(E29:G29)</f>
        <v>9315</v>
      </c>
      <c r="I29" s="226">
        <f t="shared" ref="I29:I34" si="6">IF(E29&gt;=$I$17,H29*$I$18,H29*$I$19)</f>
        <v>93056.85</v>
      </c>
    </row>
    <row r="30" spans="2:9" ht="30" customHeight="1" x14ac:dyDescent="0.3">
      <c r="B30" s="219" t="str">
        <f t="shared" ref="B30:D30" si="7">B7</f>
        <v>B-737</v>
      </c>
      <c r="C30" s="220" t="str">
        <f t="shared" si="7"/>
        <v>ATL - MIA</v>
      </c>
      <c r="D30" s="221">
        <f t="shared" si="7"/>
        <v>2</v>
      </c>
      <c r="E30" s="230">
        <f t="shared" si="2"/>
        <v>11464</v>
      </c>
      <c r="F30" s="231">
        <f t="shared" si="3"/>
        <v>2293</v>
      </c>
      <c r="G30" s="231">
        <f t="shared" si="4"/>
        <v>1146</v>
      </c>
      <c r="H30" s="231">
        <f t="shared" si="5"/>
        <v>14903</v>
      </c>
      <c r="I30" s="226">
        <f t="shared" si="6"/>
        <v>67063.5</v>
      </c>
    </row>
    <row r="31" spans="2:9" ht="30" customHeight="1" x14ac:dyDescent="0.3">
      <c r="B31" s="219" t="str">
        <f t="shared" ref="B31:D31" si="8">B8</f>
        <v>ERJ-190</v>
      </c>
      <c r="C31" s="220" t="str">
        <f t="shared" si="8"/>
        <v>JFK - ORD</v>
      </c>
      <c r="D31" s="221">
        <f t="shared" si="8"/>
        <v>2.75</v>
      </c>
      <c r="E31" s="230">
        <f t="shared" si="2"/>
        <v>11217.25</v>
      </c>
      <c r="F31" s="231">
        <f t="shared" si="3"/>
        <v>2243</v>
      </c>
      <c r="G31" s="231">
        <f t="shared" si="4"/>
        <v>1122</v>
      </c>
      <c r="H31" s="231">
        <f t="shared" si="5"/>
        <v>14582.25</v>
      </c>
      <c r="I31" s="226">
        <f t="shared" si="6"/>
        <v>65620.125</v>
      </c>
    </row>
    <row r="32" spans="2:9" ht="30" customHeight="1" x14ac:dyDescent="0.3">
      <c r="B32" s="219" t="str">
        <f t="shared" ref="B32:D32" si="9">B9</f>
        <v>B-757</v>
      </c>
      <c r="C32" s="220" t="str">
        <f t="shared" si="9"/>
        <v>LGA - ATL</v>
      </c>
      <c r="D32" s="221">
        <f t="shared" si="9"/>
        <v>2.5</v>
      </c>
      <c r="E32" s="230">
        <f t="shared" si="2"/>
        <v>19842.5</v>
      </c>
      <c r="F32" s="231">
        <f t="shared" si="3"/>
        <v>3969</v>
      </c>
      <c r="G32" s="231">
        <f t="shared" si="4"/>
        <v>1984</v>
      </c>
      <c r="H32" s="231">
        <f t="shared" si="5"/>
        <v>25795.5</v>
      </c>
      <c r="I32" s="226">
        <f t="shared" si="6"/>
        <v>116079.75</v>
      </c>
    </row>
    <row r="33" spans="2:9" ht="30" customHeight="1" x14ac:dyDescent="0.3">
      <c r="B33" s="219" t="str">
        <f t="shared" ref="B33:D33" si="10">B10</f>
        <v>B-737</v>
      </c>
      <c r="C33" s="220" t="str">
        <f t="shared" si="10"/>
        <v>LAX - LAS</v>
      </c>
      <c r="D33" s="221">
        <f t="shared" si="10"/>
        <v>1.25</v>
      </c>
      <c r="E33" s="230">
        <f t="shared" si="2"/>
        <v>7165</v>
      </c>
      <c r="F33" s="231">
        <f t="shared" si="3"/>
        <v>1433</v>
      </c>
      <c r="G33" s="231">
        <f t="shared" si="4"/>
        <v>717</v>
      </c>
      <c r="H33" s="231">
        <f t="shared" si="5"/>
        <v>9315</v>
      </c>
      <c r="I33" s="226">
        <f t="shared" si="6"/>
        <v>93056.85</v>
      </c>
    </row>
    <row r="34" spans="2:9" ht="30" customHeight="1" thickBot="1" x14ac:dyDescent="0.35">
      <c r="B34" s="222" t="str">
        <f t="shared" ref="B34:D34" si="11">B11</f>
        <v>CRJ-900</v>
      </c>
      <c r="C34" s="223" t="str">
        <f t="shared" si="11"/>
        <v>LAX - PHX</v>
      </c>
      <c r="D34" s="224">
        <f t="shared" si="11"/>
        <v>1.25</v>
      </c>
      <c r="E34" s="232">
        <f t="shared" si="2"/>
        <v>4375</v>
      </c>
      <c r="F34" s="233">
        <f t="shared" si="3"/>
        <v>875</v>
      </c>
      <c r="G34" s="233">
        <f t="shared" si="4"/>
        <v>438</v>
      </c>
      <c r="H34" s="233">
        <f t="shared" si="5"/>
        <v>5688</v>
      </c>
      <c r="I34" s="227">
        <f t="shared" si="6"/>
        <v>56823.12</v>
      </c>
    </row>
    <row r="35" spans="2:9" ht="30" customHeight="1" x14ac:dyDescent="0.3">
      <c r="B35" s="481" t="s">
        <v>60</v>
      </c>
      <c r="C35" s="482"/>
      <c r="D35" s="483"/>
      <c r="E35" s="234">
        <f>SUM(E28:E34)</f>
        <v>79857.75</v>
      </c>
      <c r="F35" s="235">
        <f t="shared" ref="F35:I35" si="12">SUM(F28:F34)</f>
        <v>15972</v>
      </c>
      <c r="G35" s="235">
        <f t="shared" si="12"/>
        <v>7987</v>
      </c>
      <c r="H35" s="235">
        <f t="shared" si="12"/>
        <v>103816.75</v>
      </c>
      <c r="I35" s="236">
        <f t="shared" si="12"/>
        <v>600681.19499999995</v>
      </c>
    </row>
    <row r="36" spans="2:9" ht="30" customHeight="1" x14ac:dyDescent="0.3">
      <c r="B36" s="484" t="s">
        <v>103</v>
      </c>
      <c r="C36" s="485"/>
      <c r="D36" s="486"/>
      <c r="E36" s="230">
        <f>AVERAGE(E28:E34)</f>
        <v>11408.25</v>
      </c>
      <c r="F36" s="231">
        <f t="shared" ref="F36:I36" si="13">AVERAGE(F28:F34)</f>
        <v>2281.7142857142858</v>
      </c>
      <c r="G36" s="231">
        <f t="shared" si="13"/>
        <v>1141</v>
      </c>
      <c r="H36" s="231">
        <f t="shared" si="13"/>
        <v>14830.964285714286</v>
      </c>
      <c r="I36" s="237">
        <f t="shared" si="13"/>
        <v>85811.599285714285</v>
      </c>
    </row>
    <row r="37" spans="2:9" ht="30" customHeight="1" thickBot="1" x14ac:dyDescent="0.35">
      <c r="B37" s="472" t="s">
        <v>104</v>
      </c>
      <c r="C37" s="473"/>
      <c r="D37" s="474"/>
      <c r="E37" s="238">
        <f>MAX(E28:E34)</f>
        <v>19842.5</v>
      </c>
      <c r="F37" s="239">
        <f t="shared" ref="F37:I37" si="14">MAX(F28:F34)</f>
        <v>3969</v>
      </c>
      <c r="G37" s="239">
        <f t="shared" si="14"/>
        <v>1984</v>
      </c>
      <c r="H37" s="239">
        <f t="shared" si="14"/>
        <v>25795.5</v>
      </c>
      <c r="I37" s="240">
        <f t="shared" si="14"/>
        <v>116079.75</v>
      </c>
    </row>
  </sheetData>
  <sheetProtection algorithmName="SHA-512" hashValue="TRX7V4SkO/gvoaz7Io9DLC5otQdU74Z3gFzZbdzoSUoq0bS8M9AT7+x03D9jHLAgSLsDAbJ69yEeeE0XaVxQUw==" saltValue="S0vfu443jC0dV3CtIvoABw==" spinCount="100000" sheet="1" objects="1" scenarios="1" formatCells="0"/>
  <customSheetViews>
    <customSheetView guid="{F48879B3-465F-4E59-8572-F7D7277CEA75}" showGridLines="0">
      <selection activeCell="E5" sqref="E5"/>
      <pageMargins left="0.7" right="0.7" top="0.75" bottom="0.75" header="0.3" footer="0.3"/>
      <pageSetup orientation="portrait" horizontalDpi="200" verticalDpi="200" r:id="rId1"/>
    </customSheetView>
    <customSheetView guid="{3B654179-D0CF-4576-A51B-BDA963916BB0}" showGridLines="0">
      <selection activeCell="E5" sqref="E5"/>
      <pageMargins left="0.7" right="0.7" top="0.75" bottom="0.75" header="0.3" footer="0.3"/>
      <pageSetup orientation="portrait" horizontalDpi="200" verticalDpi="200" r:id="rId2"/>
    </customSheetView>
  </customSheetViews>
  <mergeCells count="19">
    <mergeCell ref="B1:M1"/>
    <mergeCell ref="F16:I16"/>
    <mergeCell ref="B12:D12"/>
    <mergeCell ref="B13:D13"/>
    <mergeCell ref="B14:D14"/>
    <mergeCell ref="B3:I3"/>
    <mergeCell ref="B16:B17"/>
    <mergeCell ref="C16:C17"/>
    <mergeCell ref="D16:D17"/>
    <mergeCell ref="F17:H17"/>
    <mergeCell ref="F18:H18"/>
    <mergeCell ref="F19:H19"/>
    <mergeCell ref="F20:H20"/>
    <mergeCell ref="F21:H21"/>
    <mergeCell ref="B37:D37"/>
    <mergeCell ref="B24:I25"/>
    <mergeCell ref="B35:D35"/>
    <mergeCell ref="B36:D36"/>
    <mergeCell ref="B26:I26"/>
  </mergeCells>
  <phoneticPr fontId="2" type="noConversion"/>
  <pageMargins left="0.7" right="0.7" top="0.75" bottom="0.75" header="0.3" footer="0.3"/>
  <pageSetup orientation="portrait" horizontalDpi="200" verticalDpi="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T54"/>
  <sheetViews>
    <sheetView showGridLines="0" zoomScale="98" zoomScaleNormal="98" workbookViewId="0">
      <selection activeCell="K8" sqref="K8"/>
    </sheetView>
  </sheetViews>
  <sheetFormatPr defaultColWidth="9.140625" defaultRowHeight="16.5" x14ac:dyDescent="0.3"/>
  <cols>
    <col min="1" max="1" width="12.7109375" style="10" customWidth="1"/>
    <col min="2" max="2" width="12.85546875" style="10" customWidth="1"/>
    <col min="3" max="3" width="17.5703125" style="10" bestFit="1" customWidth="1"/>
    <col min="4" max="4" width="17" style="10" bestFit="1" customWidth="1"/>
    <col min="5" max="5" width="17" style="10" customWidth="1"/>
    <col min="6" max="6" width="13" style="10" customWidth="1"/>
    <col min="7" max="7" width="24.85546875" style="10" bestFit="1" customWidth="1"/>
    <col min="8" max="8" width="12.85546875" style="10" customWidth="1"/>
    <col min="9" max="9" width="13.28515625" style="10" customWidth="1"/>
    <col min="10" max="10" width="24" style="11" bestFit="1" customWidth="1"/>
    <col min="11" max="11" width="20.140625" style="10" customWidth="1"/>
    <col min="12" max="12" width="12.140625" style="10" bestFit="1" customWidth="1"/>
    <col min="13" max="13" width="12.7109375" style="10" customWidth="1"/>
    <col min="14" max="14" width="17.140625" style="10" customWidth="1"/>
    <col min="15" max="16384" width="9.140625" style="10"/>
  </cols>
  <sheetData>
    <row r="1" spans="1:19" ht="73.5" customHeight="1" thickBot="1" x14ac:dyDescent="0.35">
      <c r="A1" s="9"/>
      <c r="B1" s="371" t="s">
        <v>164</v>
      </c>
      <c r="C1" s="372"/>
      <c r="D1" s="373"/>
      <c r="E1" s="373"/>
      <c r="F1" s="373"/>
      <c r="G1" s="373"/>
      <c r="H1" s="374"/>
      <c r="N1" s="12"/>
    </row>
    <row r="2" spans="1:19" ht="15" customHeight="1" x14ac:dyDescent="0.3">
      <c r="A2" s="9"/>
      <c r="B2" s="13"/>
      <c r="C2" s="13"/>
      <c r="D2" s="12"/>
      <c r="E2" s="12"/>
      <c r="F2" s="12"/>
      <c r="G2" s="12"/>
      <c r="H2" s="12"/>
      <c r="I2" s="12"/>
      <c r="J2" s="14"/>
      <c r="K2" s="12"/>
      <c r="L2" s="12"/>
      <c r="M2" s="12"/>
      <c r="N2" s="12"/>
    </row>
    <row r="3" spans="1:19" ht="15" customHeight="1" thickBot="1" x14ac:dyDescent="0.35">
      <c r="B3" s="12"/>
      <c r="C3" s="12"/>
      <c r="D3" s="12"/>
      <c r="E3" s="12"/>
      <c r="F3" s="12"/>
      <c r="G3" s="12"/>
      <c r="H3" s="12"/>
      <c r="I3" s="12"/>
      <c r="J3" s="14"/>
      <c r="K3" s="12"/>
      <c r="L3" s="12"/>
      <c r="M3" s="12"/>
      <c r="N3" s="15"/>
    </row>
    <row r="4" spans="1:19" ht="15" customHeight="1" x14ac:dyDescent="0.3">
      <c r="B4" s="375" t="s">
        <v>159</v>
      </c>
      <c r="C4" s="376"/>
      <c r="D4" s="376"/>
      <c r="E4" s="376"/>
      <c r="F4" s="376"/>
      <c r="G4" s="376"/>
      <c r="H4" s="377"/>
      <c r="I4" s="12"/>
      <c r="J4" s="14"/>
      <c r="K4" s="12"/>
      <c r="L4" s="12"/>
      <c r="M4" s="12"/>
      <c r="N4" s="12"/>
    </row>
    <row r="5" spans="1:19" s="11" customFormat="1" ht="19.5" customHeight="1" thickBot="1" x14ac:dyDescent="0.35">
      <c r="A5" s="10"/>
      <c r="B5" s="378"/>
      <c r="C5" s="379"/>
      <c r="D5" s="379"/>
      <c r="E5" s="379"/>
      <c r="F5" s="379"/>
      <c r="G5" s="379"/>
      <c r="H5" s="380"/>
      <c r="I5" s="12"/>
      <c r="J5" s="14"/>
      <c r="K5" s="12"/>
      <c r="L5" s="12"/>
      <c r="M5" s="12"/>
      <c r="N5" s="12"/>
    </row>
    <row r="6" spans="1:19" ht="50.25" thickBot="1" x14ac:dyDescent="0.35">
      <c r="B6" s="291" t="s">
        <v>82</v>
      </c>
      <c r="C6" s="292" t="s">
        <v>126</v>
      </c>
      <c r="D6" s="293" t="s">
        <v>127</v>
      </c>
      <c r="E6" s="293" t="s">
        <v>125</v>
      </c>
      <c r="F6" s="293" t="s">
        <v>131</v>
      </c>
      <c r="G6" s="293" t="s">
        <v>130</v>
      </c>
      <c r="H6" s="293" t="s">
        <v>82</v>
      </c>
      <c r="J6" s="14"/>
      <c r="K6" s="308" t="s">
        <v>138</v>
      </c>
      <c r="L6" s="12"/>
      <c r="M6" s="12"/>
      <c r="N6" s="17"/>
    </row>
    <row r="7" spans="1:19" ht="18.75" customHeight="1" thickBot="1" x14ac:dyDescent="0.35">
      <c r="B7" s="294">
        <v>1</v>
      </c>
      <c r="C7" s="295">
        <v>74</v>
      </c>
      <c r="D7" s="296">
        <v>49</v>
      </c>
      <c r="E7" s="296">
        <v>15</v>
      </c>
      <c r="F7" s="327">
        <v>0.66</v>
      </c>
      <c r="G7" s="296"/>
      <c r="H7" s="297">
        <v>1</v>
      </c>
      <c r="J7" s="16" t="s">
        <v>99</v>
      </c>
      <c r="K7" s="309">
        <v>-1</v>
      </c>
      <c r="L7" s="305" t="s">
        <v>137</v>
      </c>
      <c r="M7" s="12"/>
      <c r="N7" s="17"/>
    </row>
    <row r="8" spans="1:19" ht="18.75" customHeight="1" x14ac:dyDescent="0.3">
      <c r="B8" s="298">
        <v>2</v>
      </c>
      <c r="C8" s="299">
        <v>68</v>
      </c>
      <c r="D8" s="300">
        <v>40</v>
      </c>
      <c r="E8" s="300">
        <v>29</v>
      </c>
      <c r="F8" s="328">
        <v>0.53</v>
      </c>
      <c r="G8" s="300"/>
      <c r="H8" s="301">
        <v>2</v>
      </c>
      <c r="I8" s="302" t="e">
        <f t="shared" ref="I8:I27" si="0">(J8=K8)*1</f>
        <v>#REF!</v>
      </c>
      <c r="J8" s="20">
        <f>ROUND(AVERAGE(C7:C37),1)</f>
        <v>55.5</v>
      </c>
      <c r="K8" s="287" t="e">
        <f>VLOOKUP(AVERAGE(C7:C37),C7:C37,C7:C37)</f>
        <v>#REF!</v>
      </c>
      <c r="L8" s="306">
        <v>1</v>
      </c>
      <c r="M8" s="10" t="s">
        <v>147</v>
      </c>
      <c r="N8" s="17"/>
    </row>
    <row r="9" spans="1:19" ht="18.75" customHeight="1" x14ac:dyDescent="0.3">
      <c r="B9" s="298">
        <v>3</v>
      </c>
      <c r="C9" s="299">
        <v>47</v>
      </c>
      <c r="D9" s="300">
        <v>34</v>
      </c>
      <c r="E9" s="300">
        <v>23</v>
      </c>
      <c r="F9" s="328">
        <v>0.51</v>
      </c>
      <c r="G9" s="300"/>
      <c r="H9" s="301">
        <v>3</v>
      </c>
      <c r="I9" s="302">
        <f t="shared" si="0"/>
        <v>0</v>
      </c>
      <c r="J9" s="21">
        <f>MAX(C7:C37)</f>
        <v>75</v>
      </c>
      <c r="K9" s="288" t="s">
        <v>96</v>
      </c>
      <c r="L9" s="307">
        <v>2</v>
      </c>
      <c r="M9" s="10" t="s">
        <v>148</v>
      </c>
      <c r="N9" s="17"/>
    </row>
    <row r="10" spans="1:19" ht="18.75" customHeight="1" x14ac:dyDescent="0.3">
      <c r="B10" s="298">
        <v>4</v>
      </c>
      <c r="C10" s="299">
        <v>47</v>
      </c>
      <c r="D10" s="300">
        <v>27</v>
      </c>
      <c r="E10" s="300">
        <v>10</v>
      </c>
      <c r="F10" s="328">
        <v>0.53</v>
      </c>
      <c r="G10" s="300"/>
      <c r="H10" s="301">
        <v>4</v>
      </c>
      <c r="I10" s="302">
        <f t="shared" si="0"/>
        <v>0</v>
      </c>
      <c r="J10" s="21">
        <f>LARGE(C7:C37,7)</f>
        <v>66</v>
      </c>
      <c r="K10" s="288" t="s">
        <v>96</v>
      </c>
      <c r="L10" s="306">
        <v>3</v>
      </c>
      <c r="M10" s="10" t="s">
        <v>149</v>
      </c>
      <c r="N10" s="17"/>
      <c r="O10" s="18"/>
      <c r="Q10" s="18"/>
      <c r="R10" s="18"/>
      <c r="S10" s="18"/>
    </row>
    <row r="11" spans="1:19" ht="18.75" customHeight="1" x14ac:dyDescent="0.3">
      <c r="B11" s="298">
        <v>5</v>
      </c>
      <c r="C11" s="299">
        <v>46</v>
      </c>
      <c r="D11" s="300">
        <v>28</v>
      </c>
      <c r="E11" s="300">
        <v>15</v>
      </c>
      <c r="F11" s="328">
        <v>0.56000000000000005</v>
      </c>
      <c r="G11" s="300" t="s">
        <v>98</v>
      </c>
      <c r="H11" s="301">
        <v>5</v>
      </c>
      <c r="I11" s="302">
        <f t="shared" si="0"/>
        <v>0</v>
      </c>
      <c r="J11" s="21">
        <f>SMALL(D7:D37,4)</f>
        <v>28</v>
      </c>
      <c r="K11" s="288" t="s">
        <v>96</v>
      </c>
      <c r="L11" s="307">
        <v>4</v>
      </c>
      <c r="M11" s="10" t="s">
        <v>150</v>
      </c>
      <c r="N11" s="17"/>
    </row>
    <row r="12" spans="1:19" ht="18.75" customHeight="1" x14ac:dyDescent="0.3">
      <c r="B12" s="298">
        <v>6</v>
      </c>
      <c r="C12" s="299">
        <v>45</v>
      </c>
      <c r="D12" s="300">
        <v>38</v>
      </c>
      <c r="E12" s="300">
        <v>21</v>
      </c>
      <c r="F12" s="328">
        <v>0.77</v>
      </c>
      <c r="G12" s="300"/>
      <c r="H12" s="301">
        <v>6</v>
      </c>
      <c r="I12" s="302">
        <f t="shared" si="0"/>
        <v>0</v>
      </c>
      <c r="J12" s="21">
        <f>VLOOKUP(17,B7:C37,2,FALSE)</f>
        <v>52</v>
      </c>
      <c r="K12" s="288" t="s">
        <v>96</v>
      </c>
      <c r="L12" s="306">
        <v>5</v>
      </c>
      <c r="M12" s="10" t="s">
        <v>151</v>
      </c>
      <c r="N12" s="17"/>
    </row>
    <row r="13" spans="1:19" ht="18.75" customHeight="1" x14ac:dyDescent="0.3">
      <c r="B13" s="298">
        <v>7</v>
      </c>
      <c r="C13" s="299">
        <v>52</v>
      </c>
      <c r="D13" s="300">
        <v>30</v>
      </c>
      <c r="E13" s="300">
        <v>17</v>
      </c>
      <c r="F13" s="328">
        <v>0.51</v>
      </c>
      <c r="G13" s="300"/>
      <c r="H13" s="301">
        <v>7</v>
      </c>
      <c r="I13" s="302">
        <f t="shared" si="0"/>
        <v>0</v>
      </c>
      <c r="J13" s="21">
        <f>VLOOKUP(30,B7:D37,3,FALSE)</f>
        <v>41</v>
      </c>
      <c r="K13" s="288" t="s">
        <v>96</v>
      </c>
      <c r="L13" s="307">
        <v>6</v>
      </c>
      <c r="M13" s="10" t="s">
        <v>152</v>
      </c>
      <c r="N13" s="17"/>
    </row>
    <row r="14" spans="1:19" ht="18.75" customHeight="1" x14ac:dyDescent="0.3">
      <c r="B14" s="298">
        <v>8</v>
      </c>
      <c r="C14" s="299">
        <v>64</v>
      </c>
      <c r="D14" s="300">
        <v>41</v>
      </c>
      <c r="E14" s="300">
        <v>28</v>
      </c>
      <c r="F14" s="328">
        <v>0.46</v>
      </c>
      <c r="G14" s="300" t="s">
        <v>98</v>
      </c>
      <c r="H14" s="301">
        <v>8</v>
      </c>
      <c r="I14" s="302">
        <f t="shared" si="0"/>
        <v>0</v>
      </c>
      <c r="J14" s="21" t="str">
        <f>IF(VLOOKUP(24,B7:G37,6,FALSE)=0,"None",VLOOKUP(24,B7:G37,6,FALSE))</f>
        <v>Rain</v>
      </c>
      <c r="K14" s="288" t="s">
        <v>96</v>
      </c>
      <c r="L14" s="306">
        <v>7</v>
      </c>
      <c r="M14" s="10" t="s">
        <v>153</v>
      </c>
      <c r="N14" s="17"/>
    </row>
    <row r="15" spans="1:19" ht="18.75" customHeight="1" x14ac:dyDescent="0.3">
      <c r="B15" s="298">
        <v>9</v>
      </c>
      <c r="C15" s="299">
        <v>68</v>
      </c>
      <c r="D15" s="300">
        <v>53</v>
      </c>
      <c r="E15" s="300">
        <v>47</v>
      </c>
      <c r="F15" s="328">
        <v>0.65</v>
      </c>
      <c r="G15" s="300" t="s">
        <v>98</v>
      </c>
      <c r="H15" s="301">
        <v>9</v>
      </c>
      <c r="I15" s="302">
        <f t="shared" si="0"/>
        <v>0</v>
      </c>
      <c r="J15" s="21" t="str">
        <f>IF(VLOOKUP(16,B7:G37,6,FALSE)=0,"None",VLOOKUP(16,B7:G37,6,FALSE))</f>
        <v>None</v>
      </c>
      <c r="K15" s="288" t="s">
        <v>96</v>
      </c>
      <c r="L15" s="307">
        <v>8</v>
      </c>
      <c r="M15" s="19" t="s">
        <v>154</v>
      </c>
      <c r="N15" s="17"/>
    </row>
    <row r="16" spans="1:19" ht="18.75" customHeight="1" x14ac:dyDescent="0.3">
      <c r="B16" s="298">
        <v>10</v>
      </c>
      <c r="C16" s="299">
        <v>59</v>
      </c>
      <c r="D16" s="300">
        <v>48</v>
      </c>
      <c r="E16" s="300">
        <v>26</v>
      </c>
      <c r="F16" s="328">
        <v>0.62</v>
      </c>
      <c r="G16" s="300"/>
      <c r="H16" s="301">
        <v>10</v>
      </c>
      <c r="I16" s="302">
        <f t="shared" si="0"/>
        <v>0</v>
      </c>
      <c r="J16" s="21">
        <f>VLOOKUP(MIN(C7:C37),C7:H37,6,FALSE)</f>
        <v>21</v>
      </c>
      <c r="K16" s="288" t="s">
        <v>96</v>
      </c>
      <c r="L16" s="306">
        <v>9</v>
      </c>
      <c r="M16" s="10" t="s">
        <v>155</v>
      </c>
    </row>
    <row r="17" spans="2:20" ht="18.75" customHeight="1" x14ac:dyDescent="0.3">
      <c r="B17" s="298">
        <v>11</v>
      </c>
      <c r="C17" s="299">
        <v>60</v>
      </c>
      <c r="D17" s="300">
        <v>47</v>
      </c>
      <c r="E17" s="300">
        <v>23</v>
      </c>
      <c r="F17" s="328">
        <v>0.87</v>
      </c>
      <c r="G17" s="300" t="s">
        <v>129</v>
      </c>
      <c r="H17" s="301">
        <v>11</v>
      </c>
      <c r="I17" s="302">
        <f t="shared" si="0"/>
        <v>0</v>
      </c>
      <c r="J17" s="21">
        <f>VLOOKUP(MAX(D7:D37),D7:H37,5,FALSE)</f>
        <v>12</v>
      </c>
      <c r="K17" s="288" t="s">
        <v>96</v>
      </c>
      <c r="L17" s="307">
        <v>10</v>
      </c>
      <c r="M17" s="10" t="s">
        <v>156</v>
      </c>
    </row>
    <row r="18" spans="2:20" ht="18.75" customHeight="1" x14ac:dyDescent="0.3">
      <c r="B18" s="298">
        <v>12</v>
      </c>
      <c r="C18" s="299">
        <v>69</v>
      </c>
      <c r="D18" s="300">
        <v>57</v>
      </c>
      <c r="E18" s="300">
        <v>23</v>
      </c>
      <c r="F18" s="328">
        <v>0.87</v>
      </c>
      <c r="G18" s="300" t="s">
        <v>129</v>
      </c>
      <c r="H18" s="301">
        <v>12</v>
      </c>
      <c r="I18" s="302">
        <f t="shared" si="0"/>
        <v>0</v>
      </c>
      <c r="J18" s="21">
        <f>COUNTIF(G7:G37,"*Thunderstorm*")</f>
        <v>4</v>
      </c>
      <c r="K18" s="288" t="s">
        <v>96</v>
      </c>
      <c r="L18" s="306">
        <v>11</v>
      </c>
      <c r="M18" s="10" t="s">
        <v>160</v>
      </c>
    </row>
    <row r="19" spans="2:20" ht="18.75" customHeight="1" x14ac:dyDescent="0.3">
      <c r="B19" s="298">
        <v>13</v>
      </c>
      <c r="C19" s="299">
        <v>72</v>
      </c>
      <c r="D19" s="300">
        <v>43</v>
      </c>
      <c r="E19" s="300">
        <v>29</v>
      </c>
      <c r="F19" s="328">
        <v>0.65</v>
      </c>
      <c r="G19" s="300" t="s">
        <v>129</v>
      </c>
      <c r="H19" s="301">
        <v>13</v>
      </c>
      <c r="I19" s="302">
        <f t="shared" si="0"/>
        <v>0</v>
      </c>
      <c r="J19" s="21">
        <f>COUNTIF(G7:G37,"")</f>
        <v>19</v>
      </c>
      <c r="K19" s="288" t="s">
        <v>96</v>
      </c>
      <c r="L19" s="307">
        <v>12</v>
      </c>
      <c r="M19" s="10" t="s">
        <v>157</v>
      </c>
    </row>
    <row r="20" spans="2:20" ht="18.75" customHeight="1" x14ac:dyDescent="0.3">
      <c r="B20" s="298">
        <v>14</v>
      </c>
      <c r="C20" s="299">
        <v>51</v>
      </c>
      <c r="D20" s="300">
        <v>35</v>
      </c>
      <c r="E20" s="300">
        <v>28</v>
      </c>
      <c r="F20" s="328">
        <v>0.53</v>
      </c>
      <c r="G20" s="300"/>
      <c r="H20" s="301">
        <v>14</v>
      </c>
      <c r="I20" s="302">
        <f t="shared" si="0"/>
        <v>0</v>
      </c>
      <c r="J20" s="21">
        <f>ROUND(AVERAGEIF(G7:G37,"*Rain*",C7:C37),1)</f>
        <v>57.6</v>
      </c>
      <c r="K20" s="289" t="s">
        <v>96</v>
      </c>
      <c r="L20" s="306">
        <v>13</v>
      </c>
      <c r="M20" s="10" t="s">
        <v>158</v>
      </c>
    </row>
    <row r="21" spans="2:20" ht="18.75" customHeight="1" x14ac:dyDescent="0.3">
      <c r="B21" s="298">
        <v>15</v>
      </c>
      <c r="C21" s="299">
        <v>55</v>
      </c>
      <c r="D21" s="300">
        <v>37</v>
      </c>
      <c r="E21" s="300">
        <v>16</v>
      </c>
      <c r="F21" s="328">
        <v>0.42</v>
      </c>
      <c r="G21" s="300"/>
      <c r="H21" s="301">
        <v>15</v>
      </c>
      <c r="I21" s="302">
        <f t="shared" si="0"/>
        <v>0</v>
      </c>
      <c r="J21" s="21">
        <f>ROUND(AVERAGEIF(B7:B37,"&lt;=15",D7:D37),1)</f>
        <v>40.5</v>
      </c>
      <c r="K21" s="290" t="s">
        <v>96</v>
      </c>
      <c r="L21" s="307">
        <v>14</v>
      </c>
      <c r="M21" s="10" t="s">
        <v>132</v>
      </c>
    </row>
    <row r="22" spans="2:20" ht="18.75" customHeight="1" x14ac:dyDescent="0.3">
      <c r="B22" s="298">
        <v>16</v>
      </c>
      <c r="C22" s="299">
        <v>66</v>
      </c>
      <c r="D22" s="300">
        <v>44</v>
      </c>
      <c r="E22" s="300">
        <v>21</v>
      </c>
      <c r="F22" s="328">
        <v>0.38</v>
      </c>
      <c r="G22" s="300"/>
      <c r="H22" s="301">
        <v>16</v>
      </c>
      <c r="I22" s="302">
        <f t="shared" si="0"/>
        <v>0</v>
      </c>
      <c r="J22" s="21">
        <f>ROUND(AVERAGEIF(B7:B37,"&gt;=16",E7:E37),1)</f>
        <v>15.3</v>
      </c>
      <c r="K22" s="290" t="s">
        <v>96</v>
      </c>
      <c r="L22" s="306">
        <v>15</v>
      </c>
      <c r="M22" s="10" t="s">
        <v>133</v>
      </c>
    </row>
    <row r="23" spans="2:20" ht="18.75" customHeight="1" x14ac:dyDescent="0.3">
      <c r="B23" s="298">
        <v>17</v>
      </c>
      <c r="C23" s="299">
        <v>52</v>
      </c>
      <c r="D23" s="300">
        <v>37</v>
      </c>
      <c r="E23" s="300">
        <v>18</v>
      </c>
      <c r="F23" s="328">
        <v>0.6</v>
      </c>
      <c r="G23" s="300"/>
      <c r="H23" s="301">
        <v>17</v>
      </c>
      <c r="I23" s="302">
        <f t="shared" si="0"/>
        <v>0</v>
      </c>
      <c r="J23" s="21">
        <f>COUNTIF(C7:C37,"&gt;=60")</f>
        <v>10</v>
      </c>
      <c r="K23" s="288" t="s">
        <v>96</v>
      </c>
      <c r="L23" s="307">
        <v>16</v>
      </c>
      <c r="M23" s="10" t="s">
        <v>161</v>
      </c>
    </row>
    <row r="24" spans="2:20" ht="18.75" customHeight="1" x14ac:dyDescent="0.3">
      <c r="B24" s="298">
        <v>18</v>
      </c>
      <c r="C24" s="299">
        <v>48</v>
      </c>
      <c r="D24" s="300">
        <v>30</v>
      </c>
      <c r="E24" s="300">
        <v>14</v>
      </c>
      <c r="F24" s="328">
        <v>0.49</v>
      </c>
      <c r="G24" s="300"/>
      <c r="H24" s="301">
        <v>18</v>
      </c>
      <c r="I24" s="302">
        <f t="shared" si="0"/>
        <v>0</v>
      </c>
      <c r="J24" s="21">
        <f>COUNTIF(D7:D37,"&lt;40")</f>
        <v>18</v>
      </c>
      <c r="K24" s="288" t="s">
        <v>96</v>
      </c>
      <c r="L24" s="306">
        <v>17</v>
      </c>
      <c r="M24" s="10" t="s">
        <v>162</v>
      </c>
    </row>
    <row r="25" spans="2:20" ht="18.75" customHeight="1" x14ac:dyDescent="0.3">
      <c r="B25" s="298">
        <v>19</v>
      </c>
      <c r="C25" s="299">
        <v>46</v>
      </c>
      <c r="D25" s="300">
        <v>30</v>
      </c>
      <c r="E25" s="300">
        <v>12</v>
      </c>
      <c r="F25" s="328">
        <v>0.41</v>
      </c>
      <c r="G25" s="300"/>
      <c r="H25" s="301">
        <v>19</v>
      </c>
      <c r="I25" s="302">
        <f t="shared" si="0"/>
        <v>0</v>
      </c>
      <c r="J25" s="21">
        <f>COUNTIF(C7:C37,"&gt;=45")-COUNTIF(C7:C37,"&gt;53")</f>
        <v>16</v>
      </c>
      <c r="K25" s="288" t="s">
        <v>96</v>
      </c>
      <c r="L25" s="307">
        <v>18</v>
      </c>
      <c r="M25" s="10" t="s">
        <v>163</v>
      </c>
    </row>
    <row r="26" spans="2:20" ht="18.75" customHeight="1" x14ac:dyDescent="0.3">
      <c r="B26" s="298">
        <v>20</v>
      </c>
      <c r="C26" s="299">
        <v>46</v>
      </c>
      <c r="D26" s="300">
        <v>39</v>
      </c>
      <c r="E26" s="300">
        <v>15</v>
      </c>
      <c r="F26" s="328">
        <v>0.53</v>
      </c>
      <c r="G26" s="300"/>
      <c r="H26" s="301">
        <v>20</v>
      </c>
      <c r="I26" s="302">
        <f t="shared" si="0"/>
        <v>0</v>
      </c>
      <c r="J26" s="21">
        <f>ABS(VLOOKUP(MAX(F7:F37),F7:H37,3,FALSE)-VLOOKUP(MIN(F7:F37),F7:H37,3,FALSE))</f>
        <v>5</v>
      </c>
      <c r="K26" s="288" t="s">
        <v>96</v>
      </c>
      <c r="L26" s="306">
        <v>19</v>
      </c>
      <c r="M26" s="10" t="s">
        <v>134</v>
      </c>
    </row>
    <row r="27" spans="2:20" ht="18.75" customHeight="1" thickBot="1" x14ac:dyDescent="0.35">
      <c r="B27" s="298">
        <v>21</v>
      </c>
      <c r="C27" s="299">
        <v>42</v>
      </c>
      <c r="D27" s="300">
        <v>25</v>
      </c>
      <c r="E27" s="300">
        <v>22</v>
      </c>
      <c r="F27" s="328">
        <v>0.84</v>
      </c>
      <c r="G27" s="300" t="s">
        <v>146</v>
      </c>
      <c r="H27" s="301">
        <v>21</v>
      </c>
      <c r="I27" s="302">
        <f t="shared" si="0"/>
        <v>0</v>
      </c>
      <c r="J27" s="241" t="str">
        <f>VLOOKUP(MAX(E7:E37),E7:G37,3,FALSE)</f>
        <v>Rain</v>
      </c>
      <c r="K27" s="329" t="s">
        <v>96</v>
      </c>
      <c r="L27" s="307">
        <v>20</v>
      </c>
      <c r="M27" s="10" t="s">
        <v>135</v>
      </c>
    </row>
    <row r="28" spans="2:20" ht="18.75" customHeight="1" x14ac:dyDescent="0.3">
      <c r="B28" s="298">
        <v>22</v>
      </c>
      <c r="C28" s="299">
        <v>45</v>
      </c>
      <c r="D28" s="300">
        <v>21</v>
      </c>
      <c r="E28" s="300">
        <v>9</v>
      </c>
      <c r="F28" s="328">
        <v>0.63</v>
      </c>
      <c r="G28" s="300"/>
      <c r="H28" s="301">
        <v>22</v>
      </c>
      <c r="I28"/>
      <c r="J28"/>
      <c r="K28"/>
      <c r="L28"/>
      <c r="M28"/>
      <c r="N28"/>
      <c r="O28"/>
      <c r="P28"/>
      <c r="Q28"/>
      <c r="R28"/>
      <c r="S28"/>
      <c r="T28"/>
    </row>
    <row r="29" spans="2:20" ht="18.75" customHeight="1" x14ac:dyDescent="0.3">
      <c r="B29" s="298">
        <v>23</v>
      </c>
      <c r="C29" s="299">
        <v>46</v>
      </c>
      <c r="D29" s="300">
        <v>28</v>
      </c>
      <c r="E29" s="300">
        <v>12</v>
      </c>
      <c r="F29" s="328">
        <v>0.56000000000000005</v>
      </c>
      <c r="G29" s="300"/>
      <c r="H29" s="301">
        <v>23</v>
      </c>
    </row>
    <row r="30" spans="2:20" ht="18.75" customHeight="1" x14ac:dyDescent="0.3">
      <c r="B30" s="298">
        <v>24</v>
      </c>
      <c r="C30" s="299">
        <v>49</v>
      </c>
      <c r="D30" s="300">
        <v>33</v>
      </c>
      <c r="E30" s="300">
        <v>22</v>
      </c>
      <c r="F30" s="328">
        <v>0.66</v>
      </c>
      <c r="G30" s="300" t="s">
        <v>98</v>
      </c>
      <c r="H30" s="301">
        <v>24</v>
      </c>
    </row>
    <row r="31" spans="2:20" ht="18.75" customHeight="1" x14ac:dyDescent="0.3">
      <c r="B31" s="298">
        <v>25</v>
      </c>
      <c r="C31" s="299">
        <v>47</v>
      </c>
      <c r="D31" s="300">
        <v>35</v>
      </c>
      <c r="E31" s="300">
        <v>17</v>
      </c>
      <c r="F31" s="328">
        <v>0.63</v>
      </c>
      <c r="G31" s="300" t="s">
        <v>98</v>
      </c>
      <c r="H31" s="301">
        <v>25</v>
      </c>
    </row>
    <row r="32" spans="2:20" ht="18.75" customHeight="1" x14ac:dyDescent="0.3">
      <c r="B32" s="298">
        <v>26</v>
      </c>
      <c r="C32" s="299">
        <v>48</v>
      </c>
      <c r="D32" s="300">
        <v>30</v>
      </c>
      <c r="E32" s="300">
        <v>9</v>
      </c>
      <c r="F32" s="328">
        <v>0.66</v>
      </c>
      <c r="G32" s="300"/>
      <c r="H32" s="301">
        <v>26</v>
      </c>
    </row>
    <row r="33" spans="2:8" ht="18.75" customHeight="1" x14ac:dyDescent="0.3">
      <c r="B33" s="298">
        <v>27</v>
      </c>
      <c r="C33" s="299">
        <v>57</v>
      </c>
      <c r="D33" s="300">
        <v>30</v>
      </c>
      <c r="E33" s="300">
        <v>13</v>
      </c>
      <c r="F33" s="328">
        <v>0.56999999999999995</v>
      </c>
      <c r="G33" s="300" t="s">
        <v>98</v>
      </c>
      <c r="H33" s="301">
        <v>27</v>
      </c>
    </row>
    <row r="34" spans="2:8" ht="18.75" customHeight="1" x14ac:dyDescent="0.3">
      <c r="B34" s="298">
        <v>28</v>
      </c>
      <c r="C34" s="299">
        <v>51</v>
      </c>
      <c r="D34" s="300">
        <v>48</v>
      </c>
      <c r="E34" s="300">
        <v>15</v>
      </c>
      <c r="F34" s="328">
        <v>0.71</v>
      </c>
      <c r="G34" s="300" t="s">
        <v>98</v>
      </c>
      <c r="H34" s="301">
        <v>28</v>
      </c>
    </row>
    <row r="35" spans="2:8" ht="18.75" customHeight="1" x14ac:dyDescent="0.3">
      <c r="B35" s="298">
        <v>29</v>
      </c>
      <c r="C35" s="299">
        <v>59</v>
      </c>
      <c r="D35" s="300">
        <v>41</v>
      </c>
      <c r="E35" s="300">
        <v>8</v>
      </c>
      <c r="F35" s="328">
        <v>0.72</v>
      </c>
      <c r="G35" s="300"/>
      <c r="H35" s="301">
        <v>29</v>
      </c>
    </row>
    <row r="36" spans="2:8" ht="18.75" customHeight="1" x14ac:dyDescent="0.3">
      <c r="B36" s="298">
        <v>30</v>
      </c>
      <c r="C36" s="299">
        <v>75</v>
      </c>
      <c r="D36" s="300">
        <v>41</v>
      </c>
      <c r="E36" s="300">
        <v>14</v>
      </c>
      <c r="F36" s="328">
        <v>0.5</v>
      </c>
      <c r="G36" s="300"/>
      <c r="H36" s="301">
        <v>30</v>
      </c>
    </row>
    <row r="37" spans="2:8" ht="18.75" customHeight="1" thickBot="1" x14ac:dyDescent="0.35">
      <c r="B37" s="298">
        <v>31</v>
      </c>
      <c r="C37" s="299">
        <v>66</v>
      </c>
      <c r="D37" s="300">
        <v>55</v>
      </c>
      <c r="E37" s="300">
        <v>24</v>
      </c>
      <c r="F37" s="328">
        <v>0.78</v>
      </c>
      <c r="G37" s="300" t="s">
        <v>129</v>
      </c>
      <c r="H37" s="301">
        <v>31</v>
      </c>
    </row>
    <row r="38" spans="2:8" ht="18.75" customHeight="1" x14ac:dyDescent="0.3">
      <c r="B38" s="286"/>
      <c r="C38" s="286"/>
      <c r="D38" s="286"/>
      <c r="E38" s="286"/>
      <c r="F38" s="286"/>
      <c r="G38" s="286"/>
      <c r="H38" s="286"/>
    </row>
    <row r="39" spans="2:8" ht="15" customHeight="1" x14ac:dyDescent="0.3"/>
    <row r="40" spans="2:8" ht="15" customHeight="1" x14ac:dyDescent="0.3"/>
    <row r="41" spans="2:8" ht="15" customHeight="1" x14ac:dyDescent="0.3"/>
    <row r="42" spans="2:8" ht="15" customHeight="1" x14ac:dyDescent="0.3"/>
    <row r="43" spans="2:8" ht="15" customHeight="1" x14ac:dyDescent="0.3"/>
    <row r="54" spans="7:8" x14ac:dyDescent="0.3">
      <c r="G54" s="11"/>
      <c r="H54" s="19"/>
    </row>
  </sheetData>
  <sheetProtection algorithmName="SHA-512" hashValue="d92LfA7lsAU/00AeU48HvDpi4TMtn35wTKrPGs/FggrcrrljxOe3HDM7cO6hv/CDYMsuPshkOjkeqL4ZR45aDA==" saltValue="WcIVOCISyox1pTXAfYK3vA==" spinCount="100000" sheet="1" objects="1" scenarios="1" formatCells="0"/>
  <customSheetViews>
    <customSheetView guid="{F48879B3-465F-4E59-8572-F7D7277CEA75}" scale="98" showGridLines="0" topLeftCell="A4">
      <selection activeCell="J25" sqref="J25"/>
      <pageMargins left="0.75" right="0.75" top="1" bottom="1" header="0.5" footer="0.5"/>
      <pageSetup orientation="portrait" horizontalDpi="200" verticalDpi="200" r:id="rId1"/>
      <headerFooter alignWithMargins="0"/>
    </customSheetView>
    <customSheetView guid="{3B654179-D0CF-4576-A51B-BDA963916BB0}" scale="98" showGridLines="0">
      <selection activeCell="K8" sqref="K8"/>
      <pageMargins left="0.75" right="0.75" top="1" bottom="1" header="0.5" footer="0.5"/>
      <pageSetup orientation="portrait" horizontalDpi="200" verticalDpi="200" r:id="rId2"/>
      <headerFooter alignWithMargins="0"/>
    </customSheetView>
  </customSheetViews>
  <mergeCells count="2">
    <mergeCell ref="B1:H1"/>
    <mergeCell ref="B4:H5"/>
  </mergeCells>
  <phoneticPr fontId="0" type="noConversion"/>
  <pageMargins left="0.75" right="0.75" top="1" bottom="1" header="0.5" footer="0.5"/>
  <pageSetup orientation="portrait" horizontalDpi="200" verticalDpi="200" r:id="rId3"/>
  <headerFooter alignWithMargins="0"/>
  <extLst>
    <ext xmlns:x14="http://schemas.microsoft.com/office/spreadsheetml/2009/9/main" uri="{78C0D931-6437-407d-A8EE-F0AAD7539E65}">
      <x14:conditionalFormattings>
        <x14:conditionalFormatting xmlns:xm="http://schemas.microsoft.com/office/excel/2006/main">
          <x14:cfRule type="iconSet" priority="2" id="{55C6ED29-EAE5-4C51-8378-203134199C88}">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I8:I27</xm:sqref>
        </x14:conditionalFormatting>
        <x14:conditionalFormatting xmlns:xm="http://schemas.microsoft.com/office/excel/2006/main">
          <x14:cfRule type="iconSet" priority="1" id="{751BB5FC-FE3B-4678-BBE2-F2F359E791A8}">
            <x14:iconSet iconSet="4Arrows" showValue="0" custom="1">
              <x14:cfvo type="percent">
                <xm:f>0</xm:f>
              </x14:cfvo>
              <x14:cfvo type="num">
                <xm:f>0</xm:f>
              </x14:cfvo>
              <x14:cfvo type="num">
                <xm:f>0</xm:f>
              </x14:cfvo>
              <x14:cfvo type="num">
                <xm:f>0</xm:f>
              </x14:cfvo>
              <x14:cfIcon iconSet="3ArrowsGray" iconId="0"/>
              <x14:cfIcon iconSet="4Arrows" iconId="1"/>
              <x14:cfIcon iconSet="4Arrows" iconId="2"/>
              <x14:cfIcon iconSet="3Arrows" iconId="2"/>
            </x14:iconSet>
          </x14:cfRule>
          <xm:sqref>K7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40"/>
  <sheetViews>
    <sheetView showGridLines="0" zoomScale="78" zoomScaleNormal="78" workbookViewId="0">
      <selection activeCell="M10" sqref="M10"/>
    </sheetView>
  </sheetViews>
  <sheetFormatPr defaultColWidth="9.140625" defaultRowHeight="17.25" x14ac:dyDescent="0.3"/>
  <cols>
    <col min="1" max="1" width="12.7109375" style="24" customWidth="1"/>
    <col min="2" max="2" width="26" style="24" bestFit="1" customWidth="1"/>
    <col min="3" max="6" width="12.7109375" style="24" customWidth="1"/>
    <col min="7" max="7" width="12" style="24" bestFit="1" customWidth="1"/>
    <col min="8" max="16384" width="9.140625" style="24"/>
  </cols>
  <sheetData>
    <row r="1" spans="1:14" ht="195.75" customHeight="1" thickBot="1" x14ac:dyDescent="0.35">
      <c r="A1" s="22"/>
      <c r="B1" s="387" t="s">
        <v>140</v>
      </c>
      <c r="C1" s="388"/>
      <c r="D1" s="388"/>
      <c r="E1" s="388"/>
      <c r="F1" s="388"/>
      <c r="G1" s="388"/>
      <c r="H1" s="388"/>
      <c r="I1" s="388"/>
      <c r="J1" s="388"/>
      <c r="K1" s="388"/>
      <c r="L1" s="388"/>
      <c r="M1" s="388"/>
      <c r="N1" s="389"/>
    </row>
    <row r="2" spans="1:14" ht="15" customHeight="1" x14ac:dyDescent="0.3"/>
    <row r="3" spans="1:14" ht="15" customHeight="1" thickBot="1" x14ac:dyDescent="0.35"/>
    <row r="4" spans="1:14" s="27" customFormat="1" ht="22.5" customHeight="1" thickBot="1" x14ac:dyDescent="0.35">
      <c r="A4" s="24"/>
      <c r="B4" s="383" t="s">
        <v>0</v>
      </c>
      <c r="C4" s="384"/>
      <c r="D4" s="24"/>
      <c r="E4" s="24"/>
      <c r="F4" s="381" t="s">
        <v>75</v>
      </c>
      <c r="G4" s="382"/>
      <c r="H4" s="24"/>
      <c r="I4" s="24"/>
    </row>
    <row r="5" spans="1:14" ht="22.5" customHeight="1" thickBot="1" x14ac:dyDescent="0.35">
      <c r="B5" s="385"/>
      <c r="C5" s="386"/>
      <c r="D5" s="44" t="s">
        <v>99</v>
      </c>
      <c r="F5" s="41" t="s">
        <v>1</v>
      </c>
      <c r="G5" s="42" t="s">
        <v>83</v>
      </c>
    </row>
    <row r="6" spans="1:14" ht="22.5" customHeight="1" x14ac:dyDescent="0.3">
      <c r="B6" s="32" t="s">
        <v>2</v>
      </c>
      <c r="C6" s="33" t="s">
        <v>8</v>
      </c>
      <c r="D6" s="45"/>
      <c r="F6" s="242" t="s">
        <v>4</v>
      </c>
      <c r="G6" s="314">
        <f ca="1">RANDBETWEEN(1.53,3.57)*0.7</f>
        <v>2.0999999999999996</v>
      </c>
      <c r="H6" s="27"/>
    </row>
    <row r="7" spans="1:14" ht="22.5" customHeight="1" thickBot="1" x14ac:dyDescent="0.35">
      <c r="B7" s="34" t="s">
        <v>5</v>
      </c>
      <c r="C7" s="52">
        <v>200</v>
      </c>
      <c r="D7" s="45"/>
      <c r="F7" s="244" t="s">
        <v>6</v>
      </c>
      <c r="G7" s="315">
        <f ca="1">RANDBETWEEN(1.53,3.57)*0.9</f>
        <v>1.8</v>
      </c>
    </row>
    <row r="8" spans="1:14" ht="22.5" customHeight="1" thickBot="1" x14ac:dyDescent="0.35">
      <c r="B8" s="311"/>
      <c r="C8" s="312"/>
      <c r="D8" s="45"/>
      <c r="F8" s="244" t="s">
        <v>3</v>
      </c>
      <c r="G8" s="315">
        <f ca="1">RANDBETWEEN(1.53,3.57)*1.2</f>
        <v>3.5999999999999996</v>
      </c>
    </row>
    <row r="9" spans="1:14" ht="22.5" customHeight="1" thickBot="1" x14ac:dyDescent="0.35">
      <c r="B9" s="32" t="s">
        <v>7</v>
      </c>
      <c r="C9" s="35" t="s">
        <v>96</v>
      </c>
      <c r="D9" s="46">
        <f ca="1">VLOOKUP(C6,F6:G9,2,FALSE)</f>
        <v>2.8</v>
      </c>
      <c r="E9" s="310">
        <f ca="1">(D9=C9)*1</f>
        <v>0</v>
      </c>
      <c r="F9" s="246" t="s">
        <v>8</v>
      </c>
      <c r="G9" s="316">
        <f ca="1">RANDBETWEEN(1.53,3.57)*1.4</f>
        <v>2.8</v>
      </c>
    </row>
    <row r="10" spans="1:14" ht="22.5" customHeight="1" thickBot="1" x14ac:dyDescent="0.35">
      <c r="B10" s="36" t="s">
        <v>9</v>
      </c>
      <c r="C10" s="37" t="s">
        <v>96</v>
      </c>
      <c r="D10" s="47">
        <f ca="1">D9*C7</f>
        <v>560</v>
      </c>
      <c r="E10" s="310">
        <f t="shared" ref="E10:E16" ca="1" si="0">(D10=C10)*1</f>
        <v>0</v>
      </c>
      <c r="F10" s="43"/>
      <c r="G10" s="43"/>
    </row>
    <row r="11" spans="1:14" ht="22.5" customHeight="1" thickBot="1" x14ac:dyDescent="0.35">
      <c r="B11" s="36" t="s">
        <v>10</v>
      </c>
      <c r="C11" s="37" t="s">
        <v>96</v>
      </c>
      <c r="D11" s="48">
        <f ca="1">VLOOKUP(D10,F13:G16,2)</f>
        <v>0.1</v>
      </c>
      <c r="E11" s="310">
        <f t="shared" ca="1" si="0"/>
        <v>0</v>
      </c>
      <c r="F11" s="381" t="s">
        <v>76</v>
      </c>
      <c r="G11" s="382"/>
    </row>
    <row r="12" spans="1:14" ht="22.5" customHeight="1" thickBot="1" x14ac:dyDescent="0.35">
      <c r="B12" s="36" t="s">
        <v>11</v>
      </c>
      <c r="C12" s="37" t="s">
        <v>96</v>
      </c>
      <c r="D12" s="49">
        <f ca="1">ROUND(D11*D10,2)</f>
        <v>56</v>
      </c>
      <c r="E12" s="310">
        <f t="shared" ca="1" si="0"/>
        <v>0</v>
      </c>
      <c r="F12" s="41" t="s">
        <v>84</v>
      </c>
      <c r="G12" s="42" t="s">
        <v>13</v>
      </c>
    </row>
    <row r="13" spans="1:14" ht="22.5" customHeight="1" x14ac:dyDescent="0.3">
      <c r="B13" s="36" t="s">
        <v>12</v>
      </c>
      <c r="C13" s="37" t="s">
        <v>96</v>
      </c>
      <c r="D13" s="47">
        <f ca="1">D10-D12</f>
        <v>504</v>
      </c>
      <c r="E13" s="310">
        <f t="shared" ca="1" si="0"/>
        <v>0</v>
      </c>
      <c r="F13" s="319">
        <v>0</v>
      </c>
      <c r="G13" s="322">
        <v>0</v>
      </c>
    </row>
    <row r="14" spans="1:14" ht="22.5" customHeight="1" thickBot="1" x14ac:dyDescent="0.35">
      <c r="B14" s="34" t="s">
        <v>139</v>
      </c>
      <c r="C14" s="38" t="s">
        <v>96</v>
      </c>
      <c r="D14" s="50">
        <f ca="1">ROUND(D13*0.06,2)</f>
        <v>30.24</v>
      </c>
      <c r="E14" s="310">
        <f t="shared" ca="1" si="0"/>
        <v>0</v>
      </c>
      <c r="F14" s="320">
        <f ca="1">FLOOR(RANDBETWEEN(250,500),50)</f>
        <v>450</v>
      </c>
      <c r="G14" s="323">
        <v>0.05</v>
      </c>
    </row>
    <row r="15" spans="1:14" ht="22.5" customHeight="1" thickBot="1" x14ac:dyDescent="0.35">
      <c r="B15" s="311"/>
      <c r="C15" s="313"/>
      <c r="D15" s="45"/>
      <c r="E15" s="310"/>
      <c r="F15" s="320">
        <f ca="1">FLOOR(RANDBETWEEN(500,750),50)</f>
        <v>550</v>
      </c>
      <c r="G15" s="317">
        <v>0.1</v>
      </c>
    </row>
    <row r="16" spans="1:14" ht="22.5" customHeight="1" thickBot="1" x14ac:dyDescent="0.35">
      <c r="B16" s="39" t="s">
        <v>14</v>
      </c>
      <c r="C16" s="40" t="s">
        <v>96</v>
      </c>
      <c r="D16" s="51">
        <f ca="1">D13+D14</f>
        <v>534.24</v>
      </c>
      <c r="E16" s="310">
        <f t="shared" ca="1" si="0"/>
        <v>0</v>
      </c>
      <c r="F16" s="321">
        <f ca="1">FLOOR(RANDBETWEEN(750,1000),50)</f>
        <v>950</v>
      </c>
      <c r="G16" s="318">
        <v>0.15</v>
      </c>
    </row>
    <row r="17" spans="1:10" x14ac:dyDescent="0.3">
      <c r="J17" s="27"/>
    </row>
    <row r="18" spans="1:10" s="23" customFormat="1" x14ac:dyDescent="0.3">
      <c r="B18" s="24"/>
      <c r="C18" s="24"/>
      <c r="D18" s="24"/>
      <c r="E18" s="24"/>
      <c r="H18" s="24"/>
      <c r="I18" s="24"/>
      <c r="J18" s="24"/>
    </row>
    <row r="19" spans="1:10" s="23" customFormat="1" x14ac:dyDescent="0.3">
      <c r="B19" s="24"/>
      <c r="C19" s="24"/>
      <c r="D19" s="24"/>
      <c r="E19" s="24"/>
      <c r="F19" s="28"/>
      <c r="G19" s="28"/>
      <c r="H19" s="24"/>
      <c r="I19" s="24"/>
      <c r="J19" s="24"/>
    </row>
    <row r="20" spans="1:10" s="23" customFormat="1" ht="12.75" customHeight="1" x14ac:dyDescent="0.3">
      <c r="A20" s="29"/>
      <c r="J20" s="24"/>
    </row>
    <row r="21" spans="1:10" s="23" customFormat="1" x14ac:dyDescent="0.3">
      <c r="J21" s="24"/>
    </row>
    <row r="22" spans="1:10" s="23" customFormat="1" x14ac:dyDescent="0.3">
      <c r="J22" s="24"/>
    </row>
    <row r="23" spans="1:10" s="23" customFormat="1" x14ac:dyDescent="0.3">
      <c r="B23" s="30"/>
      <c r="J23" s="24"/>
    </row>
    <row r="24" spans="1:10" s="23" customFormat="1" ht="24.75" customHeight="1" x14ac:dyDescent="0.3">
      <c r="B24" s="30"/>
      <c r="J24" s="24"/>
    </row>
    <row r="25" spans="1:10" s="23" customFormat="1" x14ac:dyDescent="0.3">
      <c r="B25" s="26"/>
      <c r="J25" s="24"/>
    </row>
    <row r="26" spans="1:10" s="23" customFormat="1" x14ac:dyDescent="0.3">
      <c r="B26" s="31"/>
      <c r="C26" s="31"/>
      <c r="D26" s="31"/>
      <c r="E26" s="31"/>
      <c r="F26" s="31"/>
      <c r="G26" s="31"/>
      <c r="H26" s="31"/>
      <c r="I26" s="31"/>
      <c r="J26" s="24"/>
    </row>
    <row r="27" spans="1:10" s="23" customFormat="1" x14ac:dyDescent="0.3">
      <c r="J27" s="24"/>
    </row>
    <row r="28" spans="1:10" s="23" customFormat="1" x14ac:dyDescent="0.3">
      <c r="J28" s="24"/>
    </row>
    <row r="29" spans="1:10" s="23" customFormat="1" x14ac:dyDescent="0.3">
      <c r="J29" s="24"/>
    </row>
    <row r="31" spans="1:10" x14ac:dyDescent="0.3">
      <c r="J31" s="23"/>
    </row>
    <row r="32" spans="1:10" x14ac:dyDescent="0.3">
      <c r="J32" s="23"/>
    </row>
    <row r="33" spans="2:10" x14ac:dyDescent="0.3">
      <c r="J33" s="23"/>
    </row>
    <row r="34" spans="2:10" x14ac:dyDescent="0.3">
      <c r="J34" s="23"/>
    </row>
    <row r="35" spans="2:10" x14ac:dyDescent="0.3">
      <c r="J35" s="23"/>
    </row>
    <row r="36" spans="2:10" x14ac:dyDescent="0.3">
      <c r="J36" s="23"/>
    </row>
    <row r="37" spans="2:10" x14ac:dyDescent="0.3">
      <c r="J37" s="23"/>
    </row>
    <row r="38" spans="2:10" x14ac:dyDescent="0.3">
      <c r="J38" s="23"/>
    </row>
    <row r="39" spans="2:10" x14ac:dyDescent="0.3">
      <c r="J39" s="23"/>
    </row>
    <row r="40" spans="2:10" x14ac:dyDescent="0.3">
      <c r="B40" s="23"/>
      <c r="C40" s="23"/>
      <c r="D40" s="23"/>
      <c r="E40" s="23"/>
      <c r="F40" s="23"/>
      <c r="G40" s="23"/>
      <c r="H40" s="23"/>
      <c r="I40" s="23"/>
      <c r="J40" s="23"/>
    </row>
  </sheetData>
  <sheetProtection algorithmName="SHA-512" hashValue="Hnhk0gEVo09flb9nHZROY0D+OBoXZhPwKbea6Vju1qtS6y42SLNT9uqrXUZ+D3gAv2+lAjht70bxDLQvSUPLWA==" saltValue="Q9PVuDP23as9YlvsMgs4hA==" spinCount="100000" sheet="1" objects="1" scenarios="1" formatCells="0"/>
  <customSheetViews>
    <customSheetView guid="{F48879B3-465F-4E59-8572-F7D7277CEA75}" scale="78" showGridLines="0">
      <selection activeCell="D9" sqref="D9"/>
      <pageMargins left="0.75" right="0.75" top="1" bottom="1" header="0.5" footer="0.5"/>
      <pageSetup orientation="portrait" horizontalDpi="1200" verticalDpi="1200" r:id="rId1"/>
      <headerFooter alignWithMargins="0"/>
    </customSheetView>
    <customSheetView guid="{3B654179-D0CF-4576-A51B-BDA963916BB0}" scale="78" showGridLines="0">
      <selection activeCell="D9" sqref="D9"/>
      <pageMargins left="0.75" right="0.75" top="1" bottom="1" header="0.5" footer="0.5"/>
      <pageSetup orientation="portrait" horizontalDpi="1200" verticalDpi="1200" r:id="rId2"/>
      <headerFooter alignWithMargins="0"/>
    </customSheetView>
  </customSheetViews>
  <mergeCells count="4">
    <mergeCell ref="F11:G11"/>
    <mergeCell ref="B4:C5"/>
    <mergeCell ref="B1:N1"/>
    <mergeCell ref="F4:G4"/>
  </mergeCells>
  <phoneticPr fontId="0" type="noConversion"/>
  <dataValidations xWindow="357" yWindow="540" count="2">
    <dataValidation type="textLength" operator="greaterThan" allowBlank="1" showInputMessage="1" showErrorMessage="1" errorTitle="Item spelling" error="Make sure that you enter a valid Item name from the Price Table to the right." promptTitle="Item selection" prompt="Type in the name of the item you want to use in the price calculation below.  BE SURE TO CHECK YOUR SPELLING!" sqref="C6">
      <formula1>1</formula1>
    </dataValidation>
    <dataValidation type="whole" operator="greaterThan" allowBlank="1" showInputMessage="1" showErrorMessage="1" errorTitle="Quantity Input Error" error="Your value must be greater than 0 and must be a whole number." promptTitle="Quantity Input" prompt="Enter the quantity of items you want to use in the calculations below." sqref="C7">
      <formula1>0</formula1>
    </dataValidation>
  </dataValidations>
  <pageMargins left="0.75" right="0.75" top="1" bottom="1" header="0.5" footer="0.5"/>
  <pageSetup orientation="portrait" horizontalDpi="1200" verticalDpi="1200" r:id="rId3"/>
  <headerFooter alignWithMargins="0"/>
  <extLst>
    <ext xmlns:x14="http://schemas.microsoft.com/office/spreadsheetml/2009/9/main" uri="{78C0D931-6437-407d-A8EE-F0AAD7539E65}">
      <x14:conditionalFormattings>
        <x14:conditionalFormatting xmlns:xm="http://schemas.microsoft.com/office/excel/2006/main">
          <x14:cfRule type="iconSet" priority="1" id="{7EDFEC3B-7106-4097-98D9-11602BB1ABC0}">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E9:E16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N40"/>
  <sheetViews>
    <sheetView showGridLines="0" zoomScale="81" zoomScaleNormal="81" workbookViewId="0">
      <selection activeCell="C6" sqref="C6"/>
    </sheetView>
  </sheetViews>
  <sheetFormatPr defaultColWidth="9.140625" defaultRowHeight="17.25" x14ac:dyDescent="0.3"/>
  <cols>
    <col min="1" max="1" width="12.7109375" style="24" customWidth="1"/>
    <col min="2" max="2" width="26" style="24" bestFit="1" customWidth="1"/>
    <col min="3" max="5" width="12.7109375" style="24" customWidth="1"/>
    <col min="6" max="6" width="12" style="24" bestFit="1" customWidth="1"/>
    <col min="7" max="10" width="14.28515625" style="24" customWidth="1"/>
    <col min="11" max="16384" width="9.140625" style="24"/>
  </cols>
  <sheetData>
    <row r="1" spans="1:14" ht="175.5" customHeight="1" thickBot="1" x14ac:dyDescent="0.35">
      <c r="A1" s="22"/>
      <c r="B1" s="390" t="s">
        <v>141</v>
      </c>
      <c r="C1" s="391"/>
      <c r="D1" s="391"/>
      <c r="E1" s="391"/>
      <c r="F1" s="391"/>
      <c r="G1" s="391"/>
      <c r="H1" s="391"/>
      <c r="I1" s="391"/>
      <c r="J1" s="391"/>
      <c r="K1" s="391"/>
      <c r="L1" s="391"/>
      <c r="M1" s="391"/>
      <c r="N1" s="392"/>
    </row>
    <row r="2" spans="1:14" ht="15" customHeight="1" x14ac:dyDescent="0.3"/>
    <row r="3" spans="1:14" ht="15" customHeight="1" thickBot="1" x14ac:dyDescent="0.35"/>
    <row r="4" spans="1:14" s="27" customFormat="1" ht="22.5" customHeight="1" thickBot="1" x14ac:dyDescent="0.35">
      <c r="A4" s="24"/>
      <c r="B4" s="383" t="s">
        <v>0</v>
      </c>
      <c r="C4" s="384"/>
      <c r="D4" s="24"/>
      <c r="E4" s="24"/>
      <c r="F4" s="393" t="s">
        <v>75</v>
      </c>
      <c r="G4" s="394"/>
      <c r="H4" s="394"/>
      <c r="I4" s="394"/>
      <c r="J4" s="395"/>
    </row>
    <row r="5" spans="1:14" ht="22.5" customHeight="1" thickBot="1" x14ac:dyDescent="0.35">
      <c r="B5" s="385"/>
      <c r="C5" s="386"/>
      <c r="D5" s="44" t="s">
        <v>99</v>
      </c>
      <c r="F5" s="254" t="s">
        <v>1</v>
      </c>
      <c r="G5" s="255" t="s">
        <v>4</v>
      </c>
      <c r="H5" s="256" t="s">
        <v>6</v>
      </c>
      <c r="I5" s="256" t="s">
        <v>3</v>
      </c>
      <c r="J5" s="257" t="s">
        <v>8</v>
      </c>
    </row>
    <row r="6" spans="1:14" ht="22.5" customHeight="1" thickBot="1" x14ac:dyDescent="0.35">
      <c r="B6" s="32" t="s">
        <v>2</v>
      </c>
      <c r="C6" s="33" t="s">
        <v>6</v>
      </c>
      <c r="F6" s="258" t="s">
        <v>83</v>
      </c>
      <c r="G6" s="259">
        <f ca="1">RANDBETWEEN(1.53,3.57)*0.7</f>
        <v>2.0999999999999996</v>
      </c>
      <c r="H6" s="260">
        <f ca="1">RANDBETWEEN(1.53,3.57)*0.9</f>
        <v>2.7</v>
      </c>
      <c r="I6" s="260">
        <f ca="1">RANDBETWEEN(1.53,3.57)*1.2</f>
        <v>2.4</v>
      </c>
      <c r="J6" s="261">
        <f ca="1">RANDBETWEEN(1.53,3.57)*1.4</f>
        <v>2.8</v>
      </c>
    </row>
    <row r="7" spans="1:14" ht="22.5" customHeight="1" thickBot="1" x14ac:dyDescent="0.35">
      <c r="B7" s="34" t="s">
        <v>5</v>
      </c>
      <c r="C7" s="52">
        <v>150</v>
      </c>
    </row>
    <row r="8" spans="1:14" ht="22.5" customHeight="1" thickBot="1" x14ac:dyDescent="0.35">
      <c r="B8" s="311"/>
      <c r="C8" s="312"/>
    </row>
    <row r="9" spans="1:14" ht="22.5" customHeight="1" x14ac:dyDescent="0.3">
      <c r="B9" s="32" t="s">
        <v>7</v>
      </c>
      <c r="C9" s="35" t="s">
        <v>96</v>
      </c>
      <c r="D9" s="53">
        <f ca="1">HLOOKUP(C6,G5:J6,2,FALSE)</f>
        <v>2.7</v>
      </c>
      <c r="E9" s="304">
        <f t="shared" ref="E9:E16" ca="1" si="0">(D9=C9)*1</f>
        <v>0</v>
      </c>
    </row>
    <row r="10" spans="1:14" ht="22.5" customHeight="1" thickBot="1" x14ac:dyDescent="0.35">
      <c r="B10" s="36" t="s">
        <v>9</v>
      </c>
      <c r="C10" s="37" t="s">
        <v>96</v>
      </c>
      <c r="D10" s="54">
        <f ca="1">D9*C7</f>
        <v>405</v>
      </c>
      <c r="E10" s="304">
        <f t="shared" ca="1" si="0"/>
        <v>0</v>
      </c>
      <c r="F10" s="28"/>
      <c r="G10" s="28"/>
    </row>
    <row r="11" spans="1:14" ht="22.5" customHeight="1" thickBot="1" x14ac:dyDescent="0.35">
      <c r="B11" s="36" t="s">
        <v>10</v>
      </c>
      <c r="C11" s="37" t="s">
        <v>96</v>
      </c>
      <c r="D11" s="55">
        <f ca="1">HLOOKUP(D10,G12:J13,2)</f>
        <v>0.05</v>
      </c>
      <c r="E11" s="304">
        <f t="shared" ca="1" si="0"/>
        <v>0</v>
      </c>
      <c r="F11" s="396" t="s">
        <v>76</v>
      </c>
      <c r="G11" s="397"/>
      <c r="H11" s="397"/>
      <c r="I11" s="397"/>
      <c r="J11" s="398"/>
    </row>
    <row r="12" spans="1:14" ht="22.5" customHeight="1" x14ac:dyDescent="0.3">
      <c r="B12" s="36" t="s">
        <v>11</v>
      </c>
      <c r="C12" s="37" t="s">
        <v>96</v>
      </c>
      <c r="D12" s="56">
        <f ca="1">ROUND(D11*D10,2)</f>
        <v>20.25</v>
      </c>
      <c r="E12" s="304">
        <f t="shared" ca="1" si="0"/>
        <v>0</v>
      </c>
      <c r="F12" s="254" t="s">
        <v>84</v>
      </c>
      <c r="G12" s="262">
        <v>0</v>
      </c>
      <c r="H12" s="263">
        <f ca="1">FLOOR(RANDBETWEEN(250,500),50)</f>
        <v>400</v>
      </c>
      <c r="I12" s="263">
        <f ca="1">FLOOR(RANDBETWEEN(500,750),50)</f>
        <v>500</v>
      </c>
      <c r="J12" s="264">
        <f ca="1">FLOOR(RANDBETWEEN(750,1000),50)</f>
        <v>800</v>
      </c>
    </row>
    <row r="13" spans="1:14" ht="22.5" customHeight="1" thickBot="1" x14ac:dyDescent="0.35">
      <c r="B13" s="36" t="s">
        <v>12</v>
      </c>
      <c r="C13" s="37" t="s">
        <v>96</v>
      </c>
      <c r="D13" s="54">
        <f ca="1">D10-D12</f>
        <v>384.75</v>
      </c>
      <c r="E13" s="304">
        <f t="shared" ca="1" si="0"/>
        <v>0</v>
      </c>
      <c r="F13" s="258" t="s">
        <v>13</v>
      </c>
      <c r="G13" s="265">
        <v>0</v>
      </c>
      <c r="H13" s="266">
        <v>0.05</v>
      </c>
      <c r="I13" s="266">
        <v>0.1</v>
      </c>
      <c r="J13" s="267">
        <v>0.15</v>
      </c>
    </row>
    <row r="14" spans="1:14" ht="22.5" customHeight="1" thickBot="1" x14ac:dyDescent="0.35">
      <c r="B14" s="34" t="s">
        <v>139</v>
      </c>
      <c r="C14" s="38" t="s">
        <v>96</v>
      </c>
      <c r="D14" s="57">
        <f ca="1">ROUND(D13*0.06,2)</f>
        <v>23.09</v>
      </c>
      <c r="E14" s="304">
        <f t="shared" ca="1" si="0"/>
        <v>0</v>
      </c>
    </row>
    <row r="15" spans="1:14" ht="22.5" customHeight="1" thickBot="1" x14ac:dyDescent="0.35">
      <c r="B15" s="311"/>
      <c r="C15" s="313"/>
      <c r="E15" s="304"/>
    </row>
    <row r="16" spans="1:14" ht="22.5" customHeight="1" thickBot="1" x14ac:dyDescent="0.35">
      <c r="B16" s="39" t="s">
        <v>14</v>
      </c>
      <c r="C16" s="40" t="s">
        <v>96</v>
      </c>
      <c r="D16" s="58">
        <f ca="1">D14+D13</f>
        <v>407.84</v>
      </c>
      <c r="E16" s="304">
        <f t="shared" ca="1" si="0"/>
        <v>0</v>
      </c>
    </row>
    <row r="17" spans="1:10" x14ac:dyDescent="0.3">
      <c r="J17" s="27"/>
    </row>
    <row r="18" spans="1:10" s="23" customFormat="1" x14ac:dyDescent="0.3">
      <c r="B18" s="24"/>
      <c r="C18" s="24"/>
      <c r="D18" s="24"/>
      <c r="E18" s="24"/>
      <c r="H18" s="24"/>
      <c r="I18" s="24"/>
      <c r="J18" s="24"/>
    </row>
    <row r="19" spans="1:10" s="23" customFormat="1" x14ac:dyDescent="0.3">
      <c r="B19" s="24"/>
      <c r="C19" s="24"/>
      <c r="D19" s="24"/>
      <c r="E19" s="24"/>
      <c r="F19" s="24"/>
      <c r="G19" s="24"/>
      <c r="H19" s="24"/>
      <c r="I19" s="24"/>
      <c r="J19" s="24"/>
    </row>
    <row r="20" spans="1:10" s="23" customFormat="1" ht="12.75" customHeight="1" x14ac:dyDescent="0.3">
      <c r="A20" s="29"/>
      <c r="J20" s="24"/>
    </row>
    <row r="21" spans="1:10" s="23" customFormat="1" x14ac:dyDescent="0.3">
      <c r="J21" s="24"/>
    </row>
    <row r="22" spans="1:10" s="23" customFormat="1" x14ac:dyDescent="0.3">
      <c r="J22" s="24"/>
    </row>
    <row r="23" spans="1:10" s="23" customFormat="1" x14ac:dyDescent="0.3">
      <c r="B23" s="30"/>
      <c r="J23" s="24"/>
    </row>
    <row r="24" spans="1:10" s="23" customFormat="1" x14ac:dyDescent="0.3">
      <c r="B24" s="30"/>
      <c r="J24" s="24"/>
    </row>
    <row r="25" spans="1:10" s="23" customFormat="1" x14ac:dyDescent="0.3">
      <c r="B25" s="26"/>
      <c r="J25" s="24"/>
    </row>
    <row r="26" spans="1:10" s="23" customFormat="1" x14ac:dyDescent="0.3">
      <c r="B26" s="31"/>
      <c r="C26" s="31"/>
      <c r="D26" s="31"/>
      <c r="E26" s="31"/>
      <c r="F26" s="31"/>
      <c r="G26" s="31"/>
      <c r="H26" s="31"/>
      <c r="I26" s="31"/>
      <c r="J26" s="24"/>
    </row>
    <row r="27" spans="1:10" s="23" customFormat="1" x14ac:dyDescent="0.3">
      <c r="J27" s="24"/>
    </row>
    <row r="28" spans="1:10" s="23" customFormat="1" x14ac:dyDescent="0.3">
      <c r="J28" s="24"/>
    </row>
    <row r="29" spans="1:10" s="23" customFormat="1" x14ac:dyDescent="0.3">
      <c r="J29" s="24"/>
    </row>
    <row r="31" spans="1:10" x14ac:dyDescent="0.3">
      <c r="J31" s="23"/>
    </row>
    <row r="32" spans="1:10" x14ac:dyDescent="0.3">
      <c r="J32" s="23"/>
    </row>
    <row r="33" spans="2:10" x14ac:dyDescent="0.3">
      <c r="J33" s="23"/>
    </row>
    <row r="34" spans="2:10" x14ac:dyDescent="0.3">
      <c r="J34" s="23"/>
    </row>
    <row r="35" spans="2:10" x14ac:dyDescent="0.3">
      <c r="J35" s="23"/>
    </row>
    <row r="36" spans="2:10" x14ac:dyDescent="0.3">
      <c r="J36" s="23"/>
    </row>
    <row r="37" spans="2:10" x14ac:dyDescent="0.3">
      <c r="J37" s="23"/>
    </row>
    <row r="38" spans="2:10" x14ac:dyDescent="0.3">
      <c r="J38" s="23"/>
    </row>
    <row r="39" spans="2:10" x14ac:dyDescent="0.3">
      <c r="J39" s="23"/>
    </row>
    <row r="40" spans="2:10" x14ac:dyDescent="0.3">
      <c r="B40" s="23"/>
      <c r="C40" s="23"/>
      <c r="D40" s="23"/>
      <c r="E40" s="23"/>
      <c r="F40" s="23"/>
      <c r="G40" s="23"/>
      <c r="H40" s="23"/>
      <c r="I40" s="23"/>
      <c r="J40" s="23"/>
    </row>
  </sheetData>
  <sheetProtection algorithmName="SHA-512" hashValue="TOncDddRTADibAqTHzcJ4FnZkdxL0OfRaJAKfFNSe+vkiEeCrQ75uTf37IUpAV/9dmXe8ze87cuaogNerS39uw==" saltValue="rmXDiX8DsevxQzcerDfTSA==" spinCount="100000" sheet="1" objects="1" scenarios="1" formatCells="0"/>
  <customSheetViews>
    <customSheetView guid="{F48879B3-465F-4E59-8572-F7D7277CEA75}" scale="81" showGridLines="0">
      <selection activeCell="C9" sqref="C9"/>
      <pageMargins left="0.75" right="0.75" top="1" bottom="1" header="0.5" footer="0.5"/>
      <pageSetup orientation="portrait" horizontalDpi="1200" verticalDpi="1200" r:id="rId1"/>
      <headerFooter alignWithMargins="0"/>
    </customSheetView>
    <customSheetView guid="{3B654179-D0CF-4576-A51B-BDA963916BB0}" scale="81" showGridLines="0">
      <selection activeCell="C9" sqref="C9"/>
      <pageMargins left="0.75" right="0.75" top="1" bottom="1" header="0.5" footer="0.5"/>
      <pageSetup orientation="portrait" horizontalDpi="1200" verticalDpi="1200" r:id="rId2"/>
      <headerFooter alignWithMargins="0"/>
    </customSheetView>
  </customSheetViews>
  <mergeCells count="4">
    <mergeCell ref="B1:N1"/>
    <mergeCell ref="B4:C5"/>
    <mergeCell ref="F4:J4"/>
    <mergeCell ref="F11:J11"/>
  </mergeCells>
  <dataValidations xWindow="312" yWindow="457" count="2">
    <dataValidation type="textLength" operator="greaterThan" allowBlank="1" showInputMessage="1" showErrorMessage="1" errorTitle="Item Spelling" error="Make sure that you enter a valid Item name from the Price Table to the right." promptTitle="Item Selection" prompt="Type in the name of the item you want to use in the price calculation below.  BE SURE TO CHECK YOUR SPELLING!" sqref="C6">
      <formula1>1</formula1>
    </dataValidation>
    <dataValidation type="whole" operator="greaterThan" allowBlank="1" showInputMessage="1" showErrorMessage="1" errorTitle="Quantity Input Error" error="Your value must be greater than 0 and must be a whole number." promptTitle="Quantity Input" prompt="Enter the quantity of items you want to use in the calculations below." sqref="C7">
      <formula1>0</formula1>
    </dataValidation>
  </dataValidations>
  <pageMargins left="0.75" right="0.75" top="1" bottom="1" header="0.5" footer="0.5"/>
  <pageSetup orientation="portrait" horizontalDpi="1200" verticalDpi="1200" r:id="rId3"/>
  <headerFooter alignWithMargins="0"/>
  <extLst>
    <ext xmlns:x14="http://schemas.microsoft.com/office/spreadsheetml/2009/9/main" uri="{78C0D931-6437-407d-A8EE-F0AAD7539E65}">
      <x14:conditionalFormattings>
        <x14:conditionalFormatting xmlns:xm="http://schemas.microsoft.com/office/excel/2006/main">
          <x14:cfRule type="iconSet" priority="1" id="{83C38C9F-2F8B-4799-9B9B-D5E354B00393}">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E9:E16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44"/>
  <sheetViews>
    <sheetView showGridLines="0" zoomScale="71" zoomScaleNormal="71" workbookViewId="0">
      <selection activeCell="C6" sqref="C6"/>
    </sheetView>
  </sheetViews>
  <sheetFormatPr defaultColWidth="9.140625" defaultRowHeight="17.25" x14ac:dyDescent="0.3"/>
  <cols>
    <col min="1" max="1" width="12.7109375" style="24" customWidth="1"/>
    <col min="2" max="2" width="26" style="24" bestFit="1" customWidth="1"/>
    <col min="3" max="3" width="14.28515625" style="24" customWidth="1"/>
    <col min="4" max="5" width="12.7109375" style="24" customWidth="1"/>
    <col min="6" max="6" width="14.28515625" style="24" customWidth="1"/>
    <col min="7" max="7" width="12.7109375" style="24" customWidth="1"/>
    <col min="8" max="16384" width="9.140625" style="24"/>
  </cols>
  <sheetData>
    <row r="1" spans="1:15" ht="71.25" customHeight="1" thickBot="1" x14ac:dyDescent="0.35">
      <c r="A1" s="22"/>
      <c r="B1" s="399" t="s">
        <v>170</v>
      </c>
      <c r="C1" s="400"/>
      <c r="D1" s="400"/>
      <c r="E1" s="400"/>
      <c r="F1" s="400"/>
      <c r="G1" s="400"/>
      <c r="H1" s="400"/>
      <c r="I1" s="400"/>
      <c r="J1" s="400"/>
      <c r="K1" s="400"/>
      <c r="L1" s="400"/>
      <c r="M1" s="400"/>
      <c r="N1" s="401"/>
    </row>
    <row r="2" spans="1:15" ht="15" customHeight="1" x14ac:dyDescent="0.3"/>
    <row r="3" spans="1:15" ht="15" customHeight="1" thickBot="1" x14ac:dyDescent="0.35"/>
    <row r="4" spans="1:15" ht="22.5" customHeight="1" x14ac:dyDescent="0.3">
      <c r="B4" s="383" t="s">
        <v>0</v>
      </c>
      <c r="C4" s="384"/>
      <c r="J4" s="25"/>
      <c r="K4" s="25"/>
      <c r="L4" s="25"/>
      <c r="M4" s="25"/>
      <c r="N4" s="25"/>
      <c r="O4" s="25"/>
    </row>
    <row r="5" spans="1:15" ht="22.5" customHeight="1" thickBot="1" x14ac:dyDescent="0.35">
      <c r="B5" s="404"/>
      <c r="C5" s="405"/>
      <c r="J5" s="25"/>
      <c r="K5" s="25"/>
      <c r="L5" s="25"/>
      <c r="M5" s="25"/>
      <c r="N5" s="25"/>
      <c r="O5" s="25"/>
    </row>
    <row r="6" spans="1:15" ht="22.5" customHeight="1" thickBot="1" x14ac:dyDescent="0.35">
      <c r="B6" s="32" t="s">
        <v>15</v>
      </c>
      <c r="C6" s="33" t="s">
        <v>6</v>
      </c>
      <c r="F6" s="402" t="s">
        <v>75</v>
      </c>
      <c r="G6" s="403"/>
      <c r="J6" s="25"/>
      <c r="K6" s="25"/>
      <c r="L6" s="25"/>
      <c r="M6" s="25"/>
      <c r="N6" s="25"/>
      <c r="O6" s="25"/>
    </row>
    <row r="7" spans="1:15" ht="22.5" customHeight="1" thickBot="1" x14ac:dyDescent="0.35">
      <c r="B7" s="36" t="s">
        <v>16</v>
      </c>
      <c r="C7" s="61">
        <v>410</v>
      </c>
      <c r="F7" s="268" t="s">
        <v>1</v>
      </c>
      <c r="G7" s="269" t="s">
        <v>83</v>
      </c>
      <c r="J7" s="25"/>
      <c r="K7" s="25"/>
      <c r="L7" s="25"/>
      <c r="M7" s="25"/>
      <c r="N7" s="25"/>
      <c r="O7" s="25"/>
    </row>
    <row r="8" spans="1:15" ht="22.5" customHeight="1" x14ac:dyDescent="0.3">
      <c r="B8" s="36" t="s">
        <v>17</v>
      </c>
      <c r="C8" s="61" t="s">
        <v>4</v>
      </c>
      <c r="F8" s="270" t="s">
        <v>4</v>
      </c>
      <c r="G8" s="243">
        <f ca="1">RANDBETWEEN(1.53,3.57)*0.7</f>
        <v>1.4</v>
      </c>
      <c r="J8" s="25"/>
      <c r="K8" s="25"/>
      <c r="L8" s="25"/>
      <c r="M8" s="25"/>
      <c r="N8" s="25"/>
      <c r="O8" s="25"/>
    </row>
    <row r="9" spans="1:15" ht="22.5" customHeight="1" x14ac:dyDescent="0.3">
      <c r="B9" s="36" t="s">
        <v>18</v>
      </c>
      <c r="C9" s="61">
        <v>300</v>
      </c>
      <c r="F9" s="271" t="s">
        <v>6</v>
      </c>
      <c r="G9" s="245">
        <f ca="1">RANDBETWEEN(1.53,3.57)*0.9</f>
        <v>1.8</v>
      </c>
      <c r="J9" s="25"/>
      <c r="K9" s="25"/>
      <c r="L9" s="25"/>
      <c r="M9" s="25"/>
      <c r="N9" s="25"/>
      <c r="O9" s="25"/>
    </row>
    <row r="10" spans="1:15" ht="22.5" customHeight="1" x14ac:dyDescent="0.3">
      <c r="B10" s="36" t="s">
        <v>19</v>
      </c>
      <c r="C10" s="61" t="s">
        <v>8</v>
      </c>
      <c r="F10" s="271" t="s">
        <v>3</v>
      </c>
      <c r="G10" s="245">
        <f ca="1">RANDBETWEEN(1.53,3.57)*1.2</f>
        <v>2.4</v>
      </c>
    </row>
    <row r="11" spans="1:15" ht="22.5" customHeight="1" thickBot="1" x14ac:dyDescent="0.35">
      <c r="B11" s="36" t="s">
        <v>20</v>
      </c>
      <c r="C11" s="61">
        <v>200</v>
      </c>
      <c r="F11" s="272" t="s">
        <v>8</v>
      </c>
      <c r="G11" s="247">
        <v>2.37</v>
      </c>
    </row>
    <row r="12" spans="1:15" ht="22.5" customHeight="1" x14ac:dyDescent="0.3">
      <c r="B12" s="36" t="s">
        <v>21</v>
      </c>
      <c r="C12" s="61" t="s">
        <v>3</v>
      </c>
    </row>
    <row r="13" spans="1:15" ht="22.5" customHeight="1" thickBot="1" x14ac:dyDescent="0.35">
      <c r="B13" s="34" t="s">
        <v>22</v>
      </c>
      <c r="C13" s="62">
        <v>100</v>
      </c>
      <c r="L13" s="28"/>
      <c r="M13" s="28"/>
    </row>
    <row r="14" spans="1:15" ht="22.5" customHeight="1" thickBot="1" x14ac:dyDescent="0.35">
      <c r="D14" s="44" t="s">
        <v>99</v>
      </c>
      <c r="L14" s="28"/>
      <c r="M14" s="28"/>
    </row>
    <row r="15" spans="1:15" ht="22.5" customHeight="1" thickBot="1" x14ac:dyDescent="0.35">
      <c r="B15" s="32" t="s">
        <v>23</v>
      </c>
      <c r="C15" s="35" t="s">
        <v>96</v>
      </c>
      <c r="D15" s="53">
        <f ca="1">VLOOKUP(C6,F8:G11,2,FALSE)</f>
        <v>1.8</v>
      </c>
      <c r="E15" s="304">
        <f t="shared" ref="E15:E24" ca="1" si="0">(D15=C15)*1</f>
        <v>0</v>
      </c>
      <c r="F15" s="402" t="s">
        <v>76</v>
      </c>
      <c r="G15" s="403"/>
      <c r="L15" s="28"/>
      <c r="M15" s="28"/>
    </row>
    <row r="16" spans="1:15" ht="22.5" customHeight="1" thickBot="1" x14ac:dyDescent="0.35">
      <c r="B16" s="36" t="s">
        <v>24</v>
      </c>
      <c r="C16" s="37" t="s">
        <v>96</v>
      </c>
      <c r="D16" s="56">
        <f ca="1">VLOOKUP(C8,F8:G11,2,FALSE)</f>
        <v>1.4</v>
      </c>
      <c r="E16" s="304">
        <f t="shared" ca="1" si="0"/>
        <v>0</v>
      </c>
      <c r="F16" s="268" t="s">
        <v>84</v>
      </c>
      <c r="G16" s="269" t="s">
        <v>13</v>
      </c>
    </row>
    <row r="17" spans="2:7" ht="22.5" customHeight="1" x14ac:dyDescent="0.3">
      <c r="B17" s="36" t="s">
        <v>25</v>
      </c>
      <c r="C17" s="37" t="s">
        <v>96</v>
      </c>
      <c r="D17" s="56">
        <f>VLOOKUP(C10,F8:G11,2,FALSE)</f>
        <v>2.37</v>
      </c>
      <c r="E17" s="304">
        <f t="shared" si="0"/>
        <v>0</v>
      </c>
      <c r="F17" s="248">
        <v>0</v>
      </c>
      <c r="G17" s="249">
        <v>0</v>
      </c>
    </row>
    <row r="18" spans="2:7" ht="22.5" customHeight="1" x14ac:dyDescent="0.3">
      <c r="B18" s="36" t="s">
        <v>26</v>
      </c>
      <c r="C18" s="37" t="s">
        <v>96</v>
      </c>
      <c r="D18" s="56">
        <f ca="1">VLOOKUP(C12,F8:G11,2,FALSE)</f>
        <v>2.4</v>
      </c>
      <c r="E18" s="304">
        <f t="shared" ca="1" si="0"/>
        <v>0</v>
      </c>
      <c r="F18" s="250">
        <v>500</v>
      </c>
      <c r="G18" s="251">
        <v>0.05</v>
      </c>
    </row>
    <row r="19" spans="2:7" ht="22.5" customHeight="1" x14ac:dyDescent="0.3">
      <c r="B19" s="36" t="s">
        <v>9</v>
      </c>
      <c r="C19" s="37" t="s">
        <v>96</v>
      </c>
      <c r="D19" s="59">
        <f ca="1">D15*C7+D16*C9+D17*C11+D18*C13</f>
        <v>1872</v>
      </c>
      <c r="E19" s="304">
        <f t="shared" ca="1" si="0"/>
        <v>0</v>
      </c>
      <c r="F19" s="250">
        <v>750</v>
      </c>
      <c r="G19" s="251">
        <v>0.1</v>
      </c>
    </row>
    <row r="20" spans="2:7" ht="22.5" customHeight="1" thickBot="1" x14ac:dyDescent="0.35">
      <c r="B20" s="36" t="s">
        <v>10</v>
      </c>
      <c r="C20" s="37" t="s">
        <v>96</v>
      </c>
      <c r="D20" s="55">
        <f ca="1">VLOOKUP(D19,F17:G20,2)</f>
        <v>0.15</v>
      </c>
      <c r="E20" s="304">
        <f t="shared" ca="1" si="0"/>
        <v>0</v>
      </c>
      <c r="F20" s="252">
        <f ca="1">FLOOR(RANDBETWEEN(750,1000),50)</f>
        <v>900</v>
      </c>
      <c r="G20" s="253">
        <v>0.15</v>
      </c>
    </row>
    <row r="21" spans="2:7" ht="22.5" customHeight="1" x14ac:dyDescent="0.3">
      <c r="B21" s="36" t="s">
        <v>11</v>
      </c>
      <c r="C21" s="37" t="s">
        <v>96</v>
      </c>
      <c r="D21" s="59">
        <f ca="1">D19*D20</f>
        <v>280.8</v>
      </c>
      <c r="E21" s="304">
        <f t="shared" ca="1" si="0"/>
        <v>0</v>
      </c>
    </row>
    <row r="22" spans="2:7" ht="22.5" customHeight="1" x14ac:dyDescent="0.3">
      <c r="B22" s="36" t="s">
        <v>12</v>
      </c>
      <c r="C22" s="37" t="s">
        <v>96</v>
      </c>
      <c r="D22" s="59">
        <f ca="1">D19-D21</f>
        <v>1591.2</v>
      </c>
      <c r="E22" s="304">
        <f t="shared" ca="1" si="0"/>
        <v>0</v>
      </c>
    </row>
    <row r="23" spans="2:7" ht="22.5" customHeight="1" thickBot="1" x14ac:dyDescent="0.35">
      <c r="B23" s="34" t="s">
        <v>139</v>
      </c>
      <c r="C23" s="38" t="s">
        <v>96</v>
      </c>
      <c r="D23" s="59">
        <f ca="1">D22*0.06</f>
        <v>95.471999999999994</v>
      </c>
      <c r="E23" s="304">
        <f t="shared" ca="1" si="0"/>
        <v>0</v>
      </c>
    </row>
    <row r="24" spans="2:7" ht="22.5" customHeight="1" thickBot="1" x14ac:dyDescent="0.35">
      <c r="B24" s="39" t="s">
        <v>14</v>
      </c>
      <c r="C24" s="40" t="s">
        <v>96</v>
      </c>
      <c r="D24" s="60">
        <f ca="1">D22+D23</f>
        <v>1686.672</v>
      </c>
      <c r="E24" s="304">
        <f t="shared" ca="1" si="0"/>
        <v>0</v>
      </c>
    </row>
    <row r="26" spans="2:7" x14ac:dyDescent="0.3">
      <c r="B26" s="28"/>
      <c r="C26" s="28"/>
    </row>
    <row r="28" spans="2:7" s="25" customFormat="1" ht="14.25" x14ac:dyDescent="0.25"/>
    <row r="29" spans="2:7" s="25" customFormat="1" ht="14.25" x14ac:dyDescent="0.25"/>
    <row r="30" spans="2:7" s="25" customFormat="1" ht="14.25" x14ac:dyDescent="0.25"/>
    <row r="31" spans="2:7" s="25" customFormat="1" ht="14.25" x14ac:dyDescent="0.25"/>
    <row r="32" spans="2:7" s="25" customFormat="1" ht="14.25" x14ac:dyDescent="0.25"/>
    <row r="33" s="25" customFormat="1" ht="14.25" x14ac:dyDescent="0.25"/>
    <row r="34" s="25" customFormat="1" ht="14.25" x14ac:dyDescent="0.25"/>
    <row r="35" s="25" customFormat="1" ht="14.25" x14ac:dyDescent="0.25"/>
    <row r="36" s="25" customFormat="1" ht="14.25" x14ac:dyDescent="0.25"/>
    <row r="37" s="25" customFormat="1" ht="14.25" x14ac:dyDescent="0.25"/>
    <row r="38" s="25" customFormat="1" ht="14.25" x14ac:dyDescent="0.25"/>
    <row r="39" s="25" customFormat="1" ht="14.25" x14ac:dyDescent="0.25"/>
    <row r="40" s="25" customFormat="1" ht="14.25" x14ac:dyDescent="0.25"/>
    <row r="41" s="25" customFormat="1" ht="14.25" x14ac:dyDescent="0.25"/>
    <row r="42" s="25" customFormat="1" ht="14.25" x14ac:dyDescent="0.25"/>
    <row r="43" s="25" customFormat="1" ht="14.25" x14ac:dyDescent="0.25"/>
    <row r="44" s="25" customFormat="1" ht="14.25" x14ac:dyDescent="0.25"/>
  </sheetData>
  <sheetProtection algorithmName="SHA-512" hashValue="+PE5zRIaJUxzJYQ3lMERdstrsrHQrHacOe1C3IC9mCpfXr+K6ydo3U5Dn7kjyeSlGLwewn7hlMkW/6xLNA+QtA==" saltValue="UtWNMw8sF4eWThRhhY80CA==" spinCount="100000" sheet="1" objects="1" scenarios="1" formatCells="0"/>
  <customSheetViews>
    <customSheetView guid="{F48879B3-465F-4E59-8572-F7D7277CEA75}" scale="71" showGridLines="0">
      <selection activeCell="C15" sqref="C15"/>
      <pageMargins left="0.75" right="0.75" top="1" bottom="1" header="0.5" footer="0.5"/>
      <pageSetup orientation="portrait" horizontalDpi="1200" verticalDpi="1200" r:id="rId1"/>
      <headerFooter alignWithMargins="0"/>
    </customSheetView>
    <customSheetView guid="{3B654179-D0CF-4576-A51B-BDA963916BB0}" scale="71" showGridLines="0">
      <selection activeCell="C15" sqref="C15"/>
      <pageMargins left="0.75" right="0.75" top="1" bottom="1" header="0.5" footer="0.5"/>
      <pageSetup orientation="portrait" horizontalDpi="1200" verticalDpi="1200" r:id="rId2"/>
      <headerFooter alignWithMargins="0"/>
    </customSheetView>
  </customSheetViews>
  <mergeCells count="4">
    <mergeCell ref="B1:N1"/>
    <mergeCell ref="F6:G6"/>
    <mergeCell ref="F15:G15"/>
    <mergeCell ref="B4:C5"/>
  </mergeCells>
  <phoneticPr fontId="0" type="noConversion"/>
  <pageMargins left="0.75" right="0.75" top="1" bottom="1" header="0.5" footer="0.5"/>
  <pageSetup orientation="portrait" horizontalDpi="1200" verticalDpi="1200" r:id="rId3"/>
  <headerFooter alignWithMargins="0"/>
  <extLst>
    <ext xmlns:x14="http://schemas.microsoft.com/office/spreadsheetml/2009/9/main" uri="{78C0D931-6437-407d-A8EE-F0AAD7539E65}">
      <x14:conditionalFormattings>
        <x14:conditionalFormatting xmlns:xm="http://schemas.microsoft.com/office/excel/2006/main">
          <x14:cfRule type="iconSet" priority="1" id="{CD83B329-9944-4F3D-B1DE-41209DF16374}">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E15:E24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O44"/>
  <sheetViews>
    <sheetView showGridLines="0" zoomScale="71" zoomScaleNormal="71" workbookViewId="0">
      <selection activeCell="C6" sqref="C6"/>
    </sheetView>
  </sheetViews>
  <sheetFormatPr defaultColWidth="9.140625" defaultRowHeight="17.25" x14ac:dyDescent="0.3"/>
  <cols>
    <col min="1" max="1" width="12.7109375" style="24" customWidth="1"/>
    <col min="2" max="2" width="26" style="24" bestFit="1" customWidth="1"/>
    <col min="3" max="3" width="14.28515625" style="24" customWidth="1"/>
    <col min="4" max="6" width="12.7109375" style="24" customWidth="1"/>
    <col min="7" max="10" width="14.28515625" style="24" customWidth="1"/>
    <col min="11" max="13" width="9.140625" style="24"/>
    <col min="14" max="14" width="9.42578125" style="24" bestFit="1" customWidth="1"/>
    <col min="15" max="16384" width="9.140625" style="24"/>
  </cols>
  <sheetData>
    <row r="1" spans="1:15" ht="71.25" customHeight="1" thickBot="1" x14ac:dyDescent="0.35">
      <c r="A1" s="22"/>
      <c r="B1" s="406" t="s">
        <v>170</v>
      </c>
      <c r="C1" s="407"/>
      <c r="D1" s="407"/>
      <c r="E1" s="407"/>
      <c r="F1" s="407"/>
      <c r="G1" s="407"/>
      <c r="H1" s="407"/>
      <c r="I1" s="407"/>
      <c r="J1" s="407"/>
      <c r="K1" s="407"/>
      <c r="L1" s="407"/>
      <c r="M1" s="407"/>
      <c r="N1" s="408"/>
    </row>
    <row r="2" spans="1:15" ht="15" customHeight="1" x14ac:dyDescent="0.3"/>
    <row r="3" spans="1:15" ht="15" customHeight="1" thickBot="1" x14ac:dyDescent="0.35"/>
    <row r="4" spans="1:15" ht="22.5" customHeight="1" x14ac:dyDescent="0.3">
      <c r="B4" s="383" t="s">
        <v>0</v>
      </c>
      <c r="C4" s="384"/>
      <c r="J4" s="25"/>
      <c r="K4" s="25"/>
      <c r="L4" s="25"/>
      <c r="M4" s="25"/>
      <c r="N4" s="25"/>
      <c r="O4" s="25"/>
    </row>
    <row r="5" spans="1:15" ht="22.5" customHeight="1" thickBot="1" x14ac:dyDescent="0.35">
      <c r="B5" s="404"/>
      <c r="C5" s="405"/>
      <c r="J5" s="25"/>
      <c r="K5" s="25"/>
      <c r="L5" s="25"/>
      <c r="M5" s="25"/>
      <c r="N5" s="25"/>
      <c r="O5" s="25"/>
    </row>
    <row r="6" spans="1:15" ht="22.5" customHeight="1" thickBot="1" x14ac:dyDescent="0.35">
      <c r="B6" s="32" t="s">
        <v>15</v>
      </c>
      <c r="C6" s="33" t="s">
        <v>6</v>
      </c>
      <c r="F6" s="393" t="s">
        <v>75</v>
      </c>
      <c r="G6" s="394"/>
      <c r="H6" s="394"/>
      <c r="I6" s="394"/>
      <c r="J6" s="395"/>
      <c r="K6" s="25"/>
      <c r="L6" s="25"/>
    </row>
    <row r="7" spans="1:15" ht="22.5" customHeight="1" x14ac:dyDescent="0.3">
      <c r="B7" s="36" t="s">
        <v>16</v>
      </c>
      <c r="C7" s="61">
        <v>300</v>
      </c>
      <c r="F7" s="254" t="s">
        <v>1</v>
      </c>
      <c r="G7" s="255" t="s">
        <v>4</v>
      </c>
      <c r="H7" s="256" t="s">
        <v>6</v>
      </c>
      <c r="I7" s="256" t="s">
        <v>3</v>
      </c>
      <c r="J7" s="257" t="s">
        <v>8</v>
      </c>
      <c r="K7" s="25"/>
      <c r="L7" s="25"/>
    </row>
    <row r="8" spans="1:15" ht="22.5" customHeight="1" thickBot="1" x14ac:dyDescent="0.35">
      <c r="B8" s="36" t="s">
        <v>17</v>
      </c>
      <c r="C8" s="61" t="s">
        <v>4</v>
      </c>
      <c r="F8" s="258" t="s">
        <v>83</v>
      </c>
      <c r="G8" s="259">
        <f ca="1">RANDBETWEEN(1.53,3.57)*0.7</f>
        <v>1.4</v>
      </c>
      <c r="H8" s="260">
        <f ca="1">RANDBETWEEN(1.53,3.57)*0.9</f>
        <v>2.7</v>
      </c>
      <c r="I8" s="260">
        <f ca="1">RANDBETWEEN(1.53,3.57)*1.2</f>
        <v>2.4</v>
      </c>
      <c r="J8" s="261">
        <f ca="1">RANDBETWEEN(1.53,3.57)*1.4</f>
        <v>4.1999999999999993</v>
      </c>
      <c r="K8" s="25"/>
      <c r="L8" s="25"/>
    </row>
    <row r="9" spans="1:15" ht="22.5" customHeight="1" x14ac:dyDescent="0.3">
      <c r="B9" s="36" t="s">
        <v>18</v>
      </c>
      <c r="C9" s="61">
        <v>300</v>
      </c>
      <c r="K9" s="25"/>
      <c r="L9" s="25"/>
    </row>
    <row r="10" spans="1:15" ht="22.5" customHeight="1" x14ac:dyDescent="0.3">
      <c r="B10" s="36" t="s">
        <v>19</v>
      </c>
      <c r="C10" s="61" t="s">
        <v>8</v>
      </c>
    </row>
    <row r="11" spans="1:15" ht="22.5" customHeight="1" x14ac:dyDescent="0.3">
      <c r="B11" s="36" t="s">
        <v>20</v>
      </c>
      <c r="C11" s="61">
        <v>200</v>
      </c>
    </row>
    <row r="12" spans="1:15" ht="22.5" customHeight="1" thickBot="1" x14ac:dyDescent="0.35">
      <c r="B12" s="36" t="s">
        <v>21</v>
      </c>
      <c r="C12" s="61" t="s">
        <v>3</v>
      </c>
      <c r="F12" s="28"/>
      <c r="G12" s="28"/>
    </row>
    <row r="13" spans="1:15" ht="22.5" customHeight="1" thickBot="1" x14ac:dyDescent="0.35">
      <c r="B13" s="34" t="s">
        <v>22</v>
      </c>
      <c r="C13" s="62">
        <v>100</v>
      </c>
      <c r="F13" s="396" t="s">
        <v>76</v>
      </c>
      <c r="G13" s="397"/>
      <c r="H13" s="397"/>
      <c r="I13" s="397"/>
      <c r="J13" s="398"/>
      <c r="N13" s="63"/>
    </row>
    <row r="14" spans="1:15" ht="22.5" customHeight="1" thickBot="1" x14ac:dyDescent="0.35">
      <c r="D14" s="44" t="s">
        <v>99</v>
      </c>
      <c r="F14" s="254" t="s">
        <v>84</v>
      </c>
      <c r="G14" s="262">
        <v>0</v>
      </c>
      <c r="H14" s="263">
        <f ca="1">FLOOR(RANDBETWEEN(250,500),50)</f>
        <v>250</v>
      </c>
      <c r="I14" s="263">
        <f ca="1">FLOOR(RANDBETWEEN(500,750),50)</f>
        <v>550</v>
      </c>
      <c r="J14" s="264">
        <f ca="1">FLOOR(RANDBETWEEN(750,1000),50)</f>
        <v>850</v>
      </c>
    </row>
    <row r="15" spans="1:15" ht="22.5" customHeight="1" thickBot="1" x14ac:dyDescent="0.35">
      <c r="B15" s="32" t="s">
        <v>23</v>
      </c>
      <c r="C15" s="35" t="s">
        <v>96</v>
      </c>
      <c r="D15" s="46">
        <f ca="1">HLOOKUP(C6,G7:J8,2,FALSE)</f>
        <v>2.7</v>
      </c>
      <c r="E15" s="304">
        <f t="shared" ref="E15:E24" ca="1" si="0">(D15=C15)*1</f>
        <v>0</v>
      </c>
      <c r="F15" s="258" t="s">
        <v>13</v>
      </c>
      <c r="G15" s="265">
        <v>0</v>
      </c>
      <c r="H15" s="266">
        <v>0.05</v>
      </c>
      <c r="I15" s="266">
        <v>0.1</v>
      </c>
      <c r="J15" s="267">
        <v>0.15</v>
      </c>
    </row>
    <row r="16" spans="1:15" ht="22.5" customHeight="1" x14ac:dyDescent="0.3">
      <c r="B16" s="36" t="s">
        <v>24</v>
      </c>
      <c r="C16" s="37" t="s">
        <v>96</v>
      </c>
      <c r="D16" s="49">
        <f ca="1">HLOOKUP(C8,G7:J8,2,FALSE)</f>
        <v>1.4</v>
      </c>
      <c r="E16" s="304">
        <f t="shared" ca="1" si="0"/>
        <v>0</v>
      </c>
      <c r="F16" s="25"/>
      <c r="G16" s="25"/>
    </row>
    <row r="17" spans="2:7" ht="22.5" customHeight="1" x14ac:dyDescent="0.3">
      <c r="B17" s="36" t="s">
        <v>25</v>
      </c>
      <c r="C17" s="37" t="s">
        <v>96</v>
      </c>
      <c r="D17" s="49">
        <f ca="1">HLOOKUP(C10,G7:J8,2,FALSE)</f>
        <v>4.1999999999999993</v>
      </c>
      <c r="E17" s="304">
        <f t="shared" ca="1" si="0"/>
        <v>0</v>
      </c>
      <c r="F17" s="25"/>
      <c r="G17" s="25"/>
    </row>
    <row r="18" spans="2:7" ht="22.5" customHeight="1" x14ac:dyDescent="0.3">
      <c r="B18" s="36" t="s">
        <v>26</v>
      </c>
      <c r="C18" s="37" t="s">
        <v>96</v>
      </c>
      <c r="D18" s="49">
        <f ca="1">HLOOKUP(C12,G7:J8,2,FALSE)</f>
        <v>2.4</v>
      </c>
      <c r="E18" s="304">
        <f t="shared" ca="1" si="0"/>
        <v>0</v>
      </c>
      <c r="F18" s="25"/>
      <c r="G18" s="25"/>
    </row>
    <row r="19" spans="2:7" ht="22.5" customHeight="1" x14ac:dyDescent="0.3">
      <c r="B19" s="36" t="s">
        <v>9</v>
      </c>
      <c r="C19" s="37" t="s">
        <v>96</v>
      </c>
      <c r="D19" s="64">
        <f ca="1">D15*C7+D16*C9+D17*C11+D18*C13</f>
        <v>2310</v>
      </c>
      <c r="E19" s="304">
        <f t="shared" ca="1" si="0"/>
        <v>0</v>
      </c>
      <c r="F19" s="25"/>
      <c r="G19" s="25"/>
    </row>
    <row r="20" spans="2:7" ht="22.5" customHeight="1" x14ac:dyDescent="0.3">
      <c r="B20" s="36" t="s">
        <v>10</v>
      </c>
      <c r="C20" s="37" t="s">
        <v>96</v>
      </c>
      <c r="D20" s="48">
        <f ca="1">HLOOKUP(D19,G14:J15,2)</f>
        <v>0.15</v>
      </c>
      <c r="E20" s="304">
        <f t="shared" ca="1" si="0"/>
        <v>0</v>
      </c>
      <c r="F20" s="25"/>
      <c r="G20" s="25"/>
    </row>
    <row r="21" spans="2:7" ht="22.5" customHeight="1" x14ac:dyDescent="0.3">
      <c r="B21" s="36" t="s">
        <v>11</v>
      </c>
      <c r="C21" s="37" t="s">
        <v>96</v>
      </c>
      <c r="D21" s="64">
        <f ca="1">ROUND(D19*D20,2)</f>
        <v>346.5</v>
      </c>
      <c r="E21" s="304">
        <f t="shared" ca="1" si="0"/>
        <v>0</v>
      </c>
    </row>
    <row r="22" spans="2:7" ht="22.5" customHeight="1" x14ac:dyDescent="0.3">
      <c r="B22" s="36" t="s">
        <v>12</v>
      </c>
      <c r="C22" s="37" t="s">
        <v>96</v>
      </c>
      <c r="D22" s="64">
        <f ca="1">D19-D21</f>
        <v>1963.5</v>
      </c>
      <c r="E22" s="304">
        <f t="shared" ca="1" si="0"/>
        <v>0</v>
      </c>
    </row>
    <row r="23" spans="2:7" ht="22.5" customHeight="1" thickBot="1" x14ac:dyDescent="0.35">
      <c r="B23" s="34" t="s">
        <v>91</v>
      </c>
      <c r="C23" s="38" t="s">
        <v>96</v>
      </c>
      <c r="D23" s="64">
        <f ca="1">ROUND(D22*0.06,2)</f>
        <v>117.81</v>
      </c>
      <c r="E23" s="304">
        <f t="shared" ca="1" si="0"/>
        <v>0</v>
      </c>
    </row>
    <row r="24" spans="2:7" ht="22.5" customHeight="1" thickBot="1" x14ac:dyDescent="0.35">
      <c r="B24" s="39" t="s">
        <v>14</v>
      </c>
      <c r="C24" s="40" t="s">
        <v>96</v>
      </c>
      <c r="D24" s="65">
        <f ca="1">D22+D23</f>
        <v>2081.31</v>
      </c>
      <c r="E24" s="304">
        <f t="shared" ca="1" si="0"/>
        <v>0</v>
      </c>
    </row>
    <row r="26" spans="2:7" x14ac:dyDescent="0.3">
      <c r="B26" s="28"/>
      <c r="C26" s="28"/>
    </row>
    <row r="28" spans="2:7" s="25" customFormat="1" ht="14.25" x14ac:dyDescent="0.25"/>
    <row r="29" spans="2:7" s="25" customFormat="1" ht="14.25" x14ac:dyDescent="0.25"/>
    <row r="30" spans="2:7" s="25" customFormat="1" ht="14.25" x14ac:dyDescent="0.25"/>
    <row r="31" spans="2:7" s="25" customFormat="1" ht="14.25" x14ac:dyDescent="0.25"/>
    <row r="32" spans="2:7" s="25" customFormat="1" ht="14.25" x14ac:dyDescent="0.25"/>
    <row r="33" s="25" customFormat="1" ht="14.25" x14ac:dyDescent="0.25"/>
    <row r="34" s="25" customFormat="1" ht="14.25" x14ac:dyDescent="0.25"/>
    <row r="35" s="25" customFormat="1" ht="14.25" x14ac:dyDescent="0.25"/>
    <row r="36" s="25" customFormat="1" ht="14.25" x14ac:dyDescent="0.25"/>
    <row r="37" s="25" customFormat="1" ht="14.25" x14ac:dyDescent="0.25"/>
    <row r="38" s="25" customFormat="1" ht="14.25" x14ac:dyDescent="0.25"/>
    <row r="39" s="25" customFormat="1" ht="14.25" x14ac:dyDescent="0.25"/>
    <row r="40" s="25" customFormat="1" ht="14.25" x14ac:dyDescent="0.25"/>
    <row r="41" s="25" customFormat="1" ht="14.25" x14ac:dyDescent="0.25"/>
    <row r="42" s="25" customFormat="1" ht="14.25" x14ac:dyDescent="0.25"/>
    <row r="43" s="25" customFormat="1" ht="14.25" x14ac:dyDescent="0.25"/>
    <row r="44" s="25" customFormat="1" ht="14.25" x14ac:dyDescent="0.25"/>
  </sheetData>
  <sheetProtection algorithmName="SHA-512" hashValue="ShAA0/H49DhuzW8sw7fO3qFvJymIULVpnINPD9kzD1+h9lPtcUEonIsdF2d8Vav/8slub+FbyfiHOiE9rXBf7A==" saltValue="GpdmXoIR+qKm067ky7OrmA==" spinCount="100000" sheet="1" objects="1" scenarios="1" formatCells="0"/>
  <customSheetViews>
    <customSheetView guid="{F48879B3-465F-4E59-8572-F7D7277CEA75}" scale="71" showGridLines="0">
      <selection activeCell="C15" sqref="C15"/>
      <pageMargins left="0.75" right="0.75" top="1" bottom="1" header="0.5" footer="0.5"/>
      <pageSetup orientation="portrait" horizontalDpi="1200" verticalDpi="1200" r:id="rId1"/>
      <headerFooter alignWithMargins="0"/>
    </customSheetView>
    <customSheetView guid="{3B654179-D0CF-4576-A51B-BDA963916BB0}" scale="71" showGridLines="0">
      <selection activeCell="C15" sqref="C15"/>
      <pageMargins left="0.75" right="0.75" top="1" bottom="1" header="0.5" footer="0.5"/>
      <pageSetup orientation="portrait" horizontalDpi="1200" verticalDpi="1200" r:id="rId2"/>
      <headerFooter alignWithMargins="0"/>
    </customSheetView>
  </customSheetViews>
  <mergeCells count="4">
    <mergeCell ref="B1:N1"/>
    <mergeCell ref="B4:C5"/>
    <mergeCell ref="F6:J6"/>
    <mergeCell ref="F13:J13"/>
  </mergeCells>
  <pageMargins left="0.75" right="0.75" top="1" bottom="1" header="0.5" footer="0.5"/>
  <pageSetup orientation="portrait" horizontalDpi="1200" verticalDpi="1200" r:id="rId3"/>
  <headerFooter alignWithMargins="0"/>
  <extLst>
    <ext xmlns:x14="http://schemas.microsoft.com/office/spreadsheetml/2009/9/main" uri="{78C0D931-6437-407d-A8EE-F0AAD7539E65}">
      <x14:conditionalFormattings>
        <x14:conditionalFormatting xmlns:xm="http://schemas.microsoft.com/office/excel/2006/main">
          <x14:cfRule type="iconSet" priority="1" id="{B64FDD6C-8EEC-44E1-8136-EC8E54411383}">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E15:E24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N36"/>
  <sheetViews>
    <sheetView zoomScale="121" zoomScaleNormal="121" workbookViewId="0">
      <selection activeCell="E14" sqref="E14"/>
    </sheetView>
  </sheetViews>
  <sheetFormatPr defaultColWidth="9.140625" defaultRowHeight="15" x14ac:dyDescent="0.25"/>
  <cols>
    <col min="1" max="1" width="7.28515625" style="2" customWidth="1"/>
    <col min="2" max="2" width="15.7109375" style="2" customWidth="1"/>
    <col min="3" max="3" width="17" style="2" customWidth="1"/>
    <col min="4" max="4" width="17.140625" style="2" customWidth="1"/>
    <col min="5" max="8" width="15.7109375" style="2" customWidth="1"/>
    <col min="9" max="9" width="9.140625" style="2" customWidth="1"/>
    <col min="10" max="16384" width="9.140625" style="2"/>
  </cols>
  <sheetData>
    <row r="1" spans="1:14" ht="80.25" customHeight="1" thickBot="1" x14ac:dyDescent="0.3">
      <c r="A1" s="1"/>
      <c r="B1" s="409" t="s">
        <v>136</v>
      </c>
      <c r="C1" s="410"/>
      <c r="D1" s="410"/>
      <c r="E1" s="410"/>
      <c r="F1" s="410"/>
      <c r="G1" s="410"/>
      <c r="H1" s="410"/>
      <c r="I1" s="410"/>
      <c r="J1" s="410"/>
      <c r="K1" s="410"/>
      <c r="L1" s="410"/>
      <c r="M1" s="410"/>
      <c r="N1" s="411"/>
    </row>
    <row r="2" spans="1:14" ht="15" customHeight="1" x14ac:dyDescent="0.25"/>
    <row r="3" spans="1:14" ht="15" customHeight="1" thickBot="1" x14ac:dyDescent="0.3"/>
    <row r="4" spans="1:14" ht="22.5" customHeight="1" thickBot="1" x14ac:dyDescent="0.3">
      <c r="B4" s="415" t="s">
        <v>86</v>
      </c>
      <c r="C4" s="416"/>
      <c r="D4"/>
      <c r="E4"/>
      <c r="F4" s="412" t="s">
        <v>85</v>
      </c>
      <c r="G4" s="413"/>
      <c r="H4" s="414"/>
    </row>
    <row r="5" spans="1:14" ht="22.5" customHeight="1" thickBot="1" x14ac:dyDescent="0.3">
      <c r="B5" s="417"/>
      <c r="C5" s="418"/>
      <c r="D5" s="44" t="s">
        <v>99</v>
      </c>
      <c r="F5" s="419" t="s">
        <v>89</v>
      </c>
      <c r="G5" s="412" t="s">
        <v>101</v>
      </c>
      <c r="H5" s="414"/>
    </row>
    <row r="6" spans="1:14" ht="22.5" customHeight="1" thickBot="1" x14ac:dyDescent="0.3">
      <c r="B6" s="5" t="s">
        <v>27</v>
      </c>
      <c r="C6" s="77">
        <v>20</v>
      </c>
      <c r="F6" s="420"/>
      <c r="G6" s="66" t="s">
        <v>100</v>
      </c>
      <c r="H6" s="67" t="s">
        <v>102</v>
      </c>
    </row>
    <row r="7" spans="1:14" ht="22.5" customHeight="1" thickBot="1" x14ac:dyDescent="0.3">
      <c r="B7" s="6" t="s">
        <v>28</v>
      </c>
      <c r="C7" s="78" t="s">
        <v>29</v>
      </c>
      <c r="F7" s="68" t="s">
        <v>29</v>
      </c>
      <c r="G7" s="69">
        <v>60</v>
      </c>
      <c r="H7" s="70">
        <v>75</v>
      </c>
    </row>
    <row r="8" spans="1:14" ht="22.5" customHeight="1" thickBot="1" x14ac:dyDescent="0.35">
      <c r="B8" s="6" t="s">
        <v>87</v>
      </c>
      <c r="C8" s="79">
        <f>IF(C6&lt;=18,VLOOKUP(C7,F7:H10,2,FALSE),VLOOKUP(C7,F7:H10,3,FALSE))</f>
        <v>75</v>
      </c>
      <c r="D8" s="273">
        <f>VLOOKUP(C7,F7:H10,IF(C6&lt;=18,2,3),FALSE)</f>
        <v>75</v>
      </c>
      <c r="E8" s="303">
        <f>(D8=C8)*1</f>
        <v>1</v>
      </c>
      <c r="F8" s="71" t="s">
        <v>97</v>
      </c>
      <c r="G8" s="72">
        <v>40</v>
      </c>
      <c r="H8" s="73">
        <v>50</v>
      </c>
    </row>
    <row r="9" spans="1:14" ht="22.5" customHeight="1" thickBot="1" x14ac:dyDescent="0.3">
      <c r="B9" s="7" t="s">
        <v>88</v>
      </c>
      <c r="C9" s="79">
        <f>IF(C6="","Please enter valid age",IF(C7="","Please enter valid ticket location",IF(C6&gt;=18,VLOOKUP(C7,F7:H10,2),VLOOKUP(C7,F7:H10,3))))</f>
        <v>25</v>
      </c>
      <c r="D9" s="274"/>
      <c r="E9" s="303"/>
      <c r="F9" s="71" t="s">
        <v>30</v>
      </c>
      <c r="G9" s="72">
        <v>25</v>
      </c>
      <c r="H9" s="73">
        <v>35</v>
      </c>
    </row>
    <row r="10" spans="1:14" ht="22.5" customHeight="1" thickBot="1" x14ac:dyDescent="0.3">
      <c r="F10" s="74" t="s">
        <v>31</v>
      </c>
      <c r="G10" s="75">
        <v>10</v>
      </c>
      <c r="H10" s="76">
        <v>15</v>
      </c>
    </row>
    <row r="11" spans="1:14" ht="15" customHeight="1" x14ac:dyDescent="0.25"/>
    <row r="12" spans="1:14" ht="15" customHeight="1" x14ac:dyDescent="0.25"/>
    <row r="13" spans="1:14" ht="15" customHeight="1" x14ac:dyDescent="0.25"/>
    <row r="14" spans="1:14" ht="15" customHeight="1" x14ac:dyDescent="0.25"/>
    <row r="18" spans="1:6" ht="12.75" customHeight="1" x14ac:dyDescent="0.25">
      <c r="A18" s="4"/>
    </row>
    <row r="20" spans="1:6" x14ac:dyDescent="0.25">
      <c r="B20" s="3"/>
      <c r="C20" s="3"/>
      <c r="D20" s="3"/>
      <c r="E20" s="3"/>
    </row>
    <row r="21" spans="1:6" x14ac:dyDescent="0.25">
      <c r="B21" s="3"/>
      <c r="C21" s="3"/>
      <c r="D21" s="3"/>
      <c r="E21" s="3"/>
    </row>
    <row r="22" spans="1:6" ht="12.75" customHeight="1" x14ac:dyDescent="0.25">
      <c r="A22" s="4"/>
      <c r="B22" s="3"/>
      <c r="C22" s="3"/>
      <c r="D22" s="3"/>
      <c r="E22" s="3"/>
    </row>
    <row r="24" spans="1:6" x14ac:dyDescent="0.25">
      <c r="B24" s="3"/>
      <c r="C24" s="3"/>
      <c r="D24" s="3"/>
      <c r="E24" s="3"/>
    </row>
    <row r="25" spans="1:6" ht="12.75" customHeight="1" x14ac:dyDescent="0.25">
      <c r="F25" s="3"/>
    </row>
    <row r="26" spans="1:6" x14ac:dyDescent="0.25">
      <c r="F26" s="3"/>
    </row>
    <row r="27" spans="1:6" x14ac:dyDescent="0.25">
      <c r="F27" s="3"/>
    </row>
    <row r="29" spans="1:6" x14ac:dyDescent="0.25">
      <c r="B29" s="3"/>
      <c r="C29" s="3"/>
      <c r="D29" s="3"/>
      <c r="E29" s="3"/>
      <c r="F29" s="3"/>
    </row>
    <row r="30" spans="1:6" x14ac:dyDescent="0.25">
      <c r="B30" s="3"/>
      <c r="C30" s="3"/>
      <c r="D30" s="3"/>
      <c r="E30" s="3"/>
      <c r="F30" s="3"/>
    </row>
    <row r="31" spans="1:6" x14ac:dyDescent="0.25">
      <c r="B31" s="4"/>
      <c r="C31" s="3"/>
      <c r="D31" s="3"/>
      <c r="E31" s="3"/>
      <c r="F31" s="3"/>
    </row>
    <row r="32" spans="1:6" x14ac:dyDescent="0.25">
      <c r="C32" s="3"/>
      <c r="D32" s="3"/>
      <c r="E32" s="3"/>
      <c r="F32" s="3"/>
    </row>
    <row r="33" spans="3:6" x14ac:dyDescent="0.25">
      <c r="C33" s="3"/>
      <c r="D33" s="3"/>
      <c r="E33" s="3"/>
      <c r="F33" s="3"/>
    </row>
    <row r="34" spans="3:6" x14ac:dyDescent="0.25">
      <c r="C34" s="3"/>
      <c r="D34" s="3"/>
      <c r="E34" s="3"/>
      <c r="F34" s="3"/>
    </row>
    <row r="35" spans="3:6" x14ac:dyDescent="0.25">
      <c r="C35" s="3"/>
      <c r="D35" s="3"/>
      <c r="E35" s="3"/>
      <c r="F35" s="3"/>
    </row>
    <row r="36" spans="3:6" x14ac:dyDescent="0.25">
      <c r="F36" s="3"/>
    </row>
  </sheetData>
  <sheetProtection algorithmName="SHA-512" hashValue="JZGV8VBigcf3AJkTsdcKZnUWWE7Xu7aH6MfGEVy+siDKDyrmCofeWA6NE+BpVvVikMV/Q0ZjqHr2Hb4t9edFog==" saltValue="BR9LEY1AFIGZUQ4fV3uMWw==" spinCount="100000" sheet="1" objects="1" scenarios="1" formatCells="0"/>
  <customSheetViews>
    <customSheetView guid="{F48879B3-465F-4E59-8572-F7D7277CEA75}" scale="121">
      <selection activeCell="C9" sqref="C9"/>
      <pageMargins left="0.75" right="0.75" top="1" bottom="1" header="0.5" footer="0.5"/>
      <pageSetup orientation="portrait" horizontalDpi="1200" verticalDpi="1200" r:id="rId1"/>
      <headerFooter alignWithMargins="0"/>
    </customSheetView>
    <customSheetView guid="{3B654179-D0CF-4576-A51B-BDA963916BB0}" scale="121">
      <selection activeCell="C9" sqref="C9"/>
      <pageMargins left="0.75" right="0.75" top="1" bottom="1" header="0.5" footer="0.5"/>
      <pageSetup orientation="portrait" horizontalDpi="1200" verticalDpi="1200" r:id="rId2"/>
      <headerFooter alignWithMargins="0"/>
    </customSheetView>
  </customSheetViews>
  <mergeCells count="5">
    <mergeCell ref="B1:N1"/>
    <mergeCell ref="F4:H4"/>
    <mergeCell ref="B4:C5"/>
    <mergeCell ref="F5:F6"/>
    <mergeCell ref="G5:H5"/>
  </mergeCells>
  <phoneticPr fontId="2" type="noConversion"/>
  <pageMargins left="0.75" right="0.75" top="1" bottom="1" header="0.5" footer="0.5"/>
  <pageSetup orientation="portrait" horizontalDpi="1200" verticalDpi="1200" r:id="rId3"/>
  <headerFooter alignWithMargins="0"/>
  <extLst>
    <ext xmlns:x14="http://schemas.microsoft.com/office/spreadsheetml/2009/9/main" uri="{78C0D931-6437-407d-A8EE-F0AAD7539E65}">
      <x14:conditionalFormattings>
        <x14:conditionalFormatting xmlns:xm="http://schemas.microsoft.com/office/excel/2006/main">
          <x14:cfRule type="iconSet" priority="1" id="{88EF8C2C-32D8-4BFB-8593-EEFE85BE175A}">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E8:E9</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N33"/>
  <sheetViews>
    <sheetView showGridLines="0" zoomScale="74" zoomScaleNormal="74" workbookViewId="0">
      <selection activeCell="I20" sqref="I20"/>
    </sheetView>
  </sheetViews>
  <sheetFormatPr defaultRowHeight="14.25" x14ac:dyDescent="0.25"/>
  <cols>
    <col min="1" max="1" width="12.7109375" style="25" customWidth="1"/>
    <col min="2" max="2" width="27" style="25" bestFit="1" customWidth="1"/>
    <col min="3" max="6" width="10.7109375" style="25" customWidth="1"/>
    <col min="7" max="8" width="15.7109375" style="25" customWidth="1"/>
    <col min="9" max="9" width="20" style="25" customWidth="1"/>
    <col min="10" max="10" width="10.7109375" style="25" customWidth="1"/>
    <col min="11" max="11" width="28.7109375" style="25" bestFit="1" customWidth="1"/>
    <col min="12" max="14" width="10.7109375" style="25" customWidth="1"/>
    <col min="15" max="16384" width="9.140625" style="25"/>
  </cols>
  <sheetData>
    <row r="1" spans="1:14" ht="196.5" customHeight="1" thickBot="1" x14ac:dyDescent="0.3">
      <c r="A1" s="80"/>
      <c r="B1" s="430" t="s">
        <v>143</v>
      </c>
      <c r="C1" s="431"/>
      <c r="D1" s="431"/>
      <c r="E1" s="431"/>
      <c r="F1" s="431"/>
      <c r="G1" s="431"/>
      <c r="H1" s="431"/>
      <c r="I1" s="431"/>
      <c r="J1" s="431"/>
      <c r="K1" s="431"/>
      <c r="L1" s="431"/>
      <c r="M1" s="431"/>
      <c r="N1" s="432"/>
    </row>
    <row r="2" spans="1:14" ht="15" customHeight="1" thickBot="1" x14ac:dyDescent="0.3"/>
    <row r="3" spans="1:14" ht="15" customHeight="1" thickBot="1" x14ac:dyDescent="0.35">
      <c r="K3" s="427" t="s">
        <v>99</v>
      </c>
      <c r="L3" s="428"/>
      <c r="M3" s="428"/>
      <c r="N3" s="429"/>
    </row>
    <row r="4" spans="1:14" ht="22.5" customHeight="1" thickBot="1" x14ac:dyDescent="0.3">
      <c r="B4" s="383" t="s">
        <v>42</v>
      </c>
      <c r="C4" s="436"/>
      <c r="D4" s="436"/>
      <c r="E4" s="384"/>
      <c r="G4" s="438" t="s">
        <v>77</v>
      </c>
      <c r="H4" s="439"/>
      <c r="I4" s="440"/>
      <c r="K4" s="421" t="s">
        <v>42</v>
      </c>
      <c r="L4" s="422"/>
      <c r="M4" s="422"/>
      <c r="N4" s="423"/>
    </row>
    <row r="5" spans="1:14" ht="22.5" customHeight="1" thickBot="1" x14ac:dyDescent="0.3">
      <c r="B5" s="385"/>
      <c r="C5" s="437"/>
      <c r="D5" s="437"/>
      <c r="E5" s="386"/>
      <c r="G5" s="86" t="s">
        <v>33</v>
      </c>
      <c r="H5" s="87" t="s">
        <v>34</v>
      </c>
      <c r="I5" s="88" t="s">
        <v>78</v>
      </c>
      <c r="K5" s="424"/>
      <c r="L5" s="425"/>
      <c r="M5" s="425"/>
      <c r="N5" s="426"/>
    </row>
    <row r="6" spans="1:14" ht="22.5" customHeight="1" x14ac:dyDescent="0.25">
      <c r="B6" s="102" t="s">
        <v>32</v>
      </c>
      <c r="C6" s="324">
        <f t="shared" ref="C6:E6" ca="1" si="0">RANDBETWEEN(0,2500)</f>
        <v>2471</v>
      </c>
      <c r="D6" s="325">
        <f t="shared" ca="1" si="0"/>
        <v>1384</v>
      </c>
      <c r="E6" s="326">
        <f t="shared" ca="1" si="0"/>
        <v>2201</v>
      </c>
      <c r="G6" s="105">
        <v>0</v>
      </c>
      <c r="H6" s="92">
        <v>29.99</v>
      </c>
      <c r="I6" s="93">
        <v>0</v>
      </c>
      <c r="K6" s="108" t="s">
        <v>32</v>
      </c>
      <c r="L6" s="109">
        <f ca="1">C6</f>
        <v>2471</v>
      </c>
      <c r="M6" s="110">
        <f ca="1">D6</f>
        <v>1384</v>
      </c>
      <c r="N6" s="111">
        <f ca="1">E6</f>
        <v>2201</v>
      </c>
    </row>
    <row r="7" spans="1:14" ht="22.5" customHeight="1" x14ac:dyDescent="0.25">
      <c r="B7" s="433"/>
      <c r="C7" s="434"/>
      <c r="D7" s="434"/>
      <c r="E7" s="435"/>
      <c r="G7" s="106">
        <v>600</v>
      </c>
      <c r="H7" s="95">
        <v>39.99</v>
      </c>
      <c r="I7" s="96">
        <v>0.15</v>
      </c>
      <c r="K7" s="441"/>
      <c r="L7" s="442"/>
      <c r="M7" s="442"/>
      <c r="N7" s="443"/>
    </row>
    <row r="8" spans="1:14" ht="22.5" customHeight="1" thickBot="1" x14ac:dyDescent="0.3">
      <c r="B8" s="103" t="s">
        <v>39</v>
      </c>
      <c r="C8" s="89">
        <f ca="1">IF(C6&gt;=$G$8,$H$8,IF(C6&gt;=$G$7,$H$7,$H$6))</f>
        <v>49.99</v>
      </c>
      <c r="D8" s="89">
        <f t="shared" ref="D8:E8" ca="1" si="1">IF(D6&gt;=$G$8,$H$8,IF(D6&gt;=$G$7,$H$7,$H$6))</f>
        <v>39.99</v>
      </c>
      <c r="E8" s="89">
        <f t="shared" ca="1" si="1"/>
        <v>49.99</v>
      </c>
      <c r="F8" s="81"/>
      <c r="G8" s="107">
        <v>1500</v>
      </c>
      <c r="H8" s="98">
        <v>49.99</v>
      </c>
      <c r="I8" s="99">
        <v>0.05</v>
      </c>
      <c r="K8" s="112" t="s">
        <v>39</v>
      </c>
      <c r="L8" s="113">
        <f ca="1">VLOOKUP(L$6,$G6:$I8,2)</f>
        <v>49.99</v>
      </c>
      <c r="M8" s="114">
        <f t="shared" ref="M8:N8" ca="1" si="2">VLOOKUP(M$6,$G6:$I8,2)</f>
        <v>39.99</v>
      </c>
      <c r="N8" s="115">
        <f t="shared" ca="1" si="2"/>
        <v>49.99</v>
      </c>
    </row>
    <row r="9" spans="1:14" ht="22.5" customHeight="1" x14ac:dyDescent="0.25">
      <c r="B9" s="103" t="s">
        <v>40</v>
      </c>
      <c r="C9" s="89">
        <f ca="1">IF(C6&gt;=$G$8,(C6-$G$8)*0.05,IF(C6&gt;=$G$7,(C6-$G$7)*$I$7,0))</f>
        <v>48.550000000000004</v>
      </c>
      <c r="D9" s="89">
        <f t="shared" ref="D9:E9" ca="1" si="3">IF(D6&gt;=$G$8,(D6-$G$8)*0.05,IF(D6&gt;=$G$7,(D6-$G$7)*$I$7,0))</f>
        <v>117.6</v>
      </c>
      <c r="E9" s="89">
        <f ca="1">IF(E6&gt;=$G$8,(E6-$G$8)*0.05,IF(E6&gt;=$G$7,(E6-$G$7)*$I$7,0))</f>
        <v>35.050000000000004</v>
      </c>
      <c r="K9" s="112" t="s">
        <v>40</v>
      </c>
      <c r="L9" s="113">
        <f ca="1">(L$6-VLOOKUP(L$6,$G6:$I8,1))*VLOOKUP(L$6,$G6:$I8,3)</f>
        <v>48.550000000000004</v>
      </c>
      <c r="M9" s="114">
        <f t="shared" ref="M9:N9" ca="1" si="4">(M$6-VLOOKUP(M$6,$G6:$I8,1))*VLOOKUP(M$6,$G6:$I8,3)</f>
        <v>117.6</v>
      </c>
      <c r="N9" s="115">
        <f t="shared" ca="1" si="4"/>
        <v>35.050000000000004</v>
      </c>
    </row>
    <row r="10" spans="1:14" ht="22.5" customHeight="1" x14ac:dyDescent="0.25">
      <c r="B10" s="103" t="s">
        <v>35</v>
      </c>
      <c r="C10" s="512">
        <f>$I$13</f>
        <v>4.95</v>
      </c>
      <c r="D10" s="512">
        <f t="shared" ref="D10:E10" si="5">$I$13</f>
        <v>4.95</v>
      </c>
      <c r="E10" s="512">
        <f t="shared" si="5"/>
        <v>4.95</v>
      </c>
      <c r="K10" s="112" t="s">
        <v>35</v>
      </c>
      <c r="L10" s="330">
        <f>$I$13</f>
        <v>4.95</v>
      </c>
      <c r="M10" s="114">
        <f t="shared" ref="M10:N10" si="6">$I$13</f>
        <v>4.95</v>
      </c>
      <c r="N10" s="115">
        <f t="shared" si="6"/>
        <v>4.95</v>
      </c>
    </row>
    <row r="11" spans="1:14" ht="22.5" customHeight="1" thickBot="1" x14ac:dyDescent="0.3">
      <c r="B11" s="433"/>
      <c r="C11" s="434"/>
      <c r="D11" s="434"/>
      <c r="E11" s="435"/>
      <c r="K11" s="441"/>
      <c r="L11" s="442"/>
      <c r="M11" s="442"/>
      <c r="N11" s="443"/>
    </row>
    <row r="12" spans="1:14" ht="22.5" customHeight="1" thickBot="1" x14ac:dyDescent="0.3">
      <c r="B12" s="103" t="s">
        <v>41</v>
      </c>
      <c r="C12" s="89">
        <f ca="1">C8+C9+C10</f>
        <v>103.49000000000001</v>
      </c>
      <c r="D12" s="89">
        <f ca="1">D8+D9+D10</f>
        <v>162.54</v>
      </c>
      <c r="E12" s="89">
        <f ca="1">E8+E9+E10</f>
        <v>89.990000000000009</v>
      </c>
      <c r="G12" s="448" t="s">
        <v>61</v>
      </c>
      <c r="H12" s="449"/>
      <c r="I12" s="450"/>
      <c r="K12" s="112" t="s">
        <v>41</v>
      </c>
      <c r="L12" s="113">
        <f ca="1">SUM(L$8:L$10)</f>
        <v>103.49000000000001</v>
      </c>
      <c r="M12" s="114">
        <f t="shared" ref="M12:N12" ca="1" si="7">SUM(M$8:M$10)</f>
        <v>162.54</v>
      </c>
      <c r="N12" s="115">
        <f t="shared" ca="1" si="7"/>
        <v>89.990000000000009</v>
      </c>
    </row>
    <row r="13" spans="1:14" ht="22.5" customHeight="1" x14ac:dyDescent="0.25">
      <c r="B13" s="433"/>
      <c r="C13" s="434"/>
      <c r="D13" s="434"/>
      <c r="E13" s="435"/>
      <c r="G13" s="444" t="s">
        <v>92</v>
      </c>
      <c r="H13" s="445"/>
      <c r="I13" s="100">
        <v>4.95</v>
      </c>
      <c r="K13" s="441"/>
      <c r="L13" s="442"/>
      <c r="M13" s="442"/>
      <c r="N13" s="443"/>
    </row>
    <row r="14" spans="1:14" ht="22.5" customHeight="1" thickBot="1" x14ac:dyDescent="0.3">
      <c r="B14" s="103" t="s">
        <v>79</v>
      </c>
      <c r="C14" s="89">
        <f ca="1">(C12*$I$14)</f>
        <v>6.2094000000000005</v>
      </c>
      <c r="D14" s="89">
        <f ca="1">(D12*$I$14)</f>
        <v>9.7523999999999997</v>
      </c>
      <c r="E14" s="89">
        <f ca="1">(E12*$I$14)</f>
        <v>5.3994</v>
      </c>
      <c r="G14" s="446" t="s">
        <v>142</v>
      </c>
      <c r="H14" s="447"/>
      <c r="I14" s="101">
        <v>0.06</v>
      </c>
      <c r="K14" s="112" t="s">
        <v>79</v>
      </c>
      <c r="L14" s="113">
        <f ca="1">L$12*$I$14</f>
        <v>6.2094000000000005</v>
      </c>
      <c r="M14" s="114">
        <f t="shared" ref="M14:N14" ca="1" si="8">M$12*$I$14</f>
        <v>9.7523999999999997</v>
      </c>
      <c r="N14" s="115">
        <f t="shared" ca="1" si="8"/>
        <v>5.3994</v>
      </c>
    </row>
    <row r="15" spans="1:14" ht="22.5" customHeight="1" x14ac:dyDescent="0.25">
      <c r="B15" s="103" t="s">
        <v>37</v>
      </c>
      <c r="C15" s="90">
        <f t="shared" ref="C15:D15" ca="1" si="9">(C12*$I$14)+C12</f>
        <v>109.69940000000001</v>
      </c>
      <c r="D15" s="90">
        <f t="shared" ca="1" si="9"/>
        <v>172.29239999999999</v>
      </c>
      <c r="E15" s="90">
        <f ca="1">(E12*$I$14)+E12</f>
        <v>95.389400000000009</v>
      </c>
      <c r="K15" s="112" t="s">
        <v>37</v>
      </c>
      <c r="L15" s="113">
        <f ca="1">L$12+L$14</f>
        <v>109.69940000000001</v>
      </c>
      <c r="M15" s="114">
        <f t="shared" ref="M15:N15" ca="1" si="10">M$12+M$14</f>
        <v>172.29239999999999</v>
      </c>
      <c r="N15" s="115">
        <f t="shared" ca="1" si="10"/>
        <v>95.389400000000009</v>
      </c>
    </row>
    <row r="16" spans="1:14" ht="22.5" customHeight="1" x14ac:dyDescent="0.25">
      <c r="B16" s="433"/>
      <c r="C16" s="434"/>
      <c r="D16" s="434"/>
      <c r="E16" s="435"/>
      <c r="K16" s="441"/>
      <c r="L16" s="442"/>
      <c r="M16" s="442"/>
      <c r="N16" s="443"/>
    </row>
    <row r="17" spans="2:14" s="82" customFormat="1" ht="22.5" customHeight="1" thickBot="1" x14ac:dyDescent="0.3">
      <c r="B17" s="104" t="s">
        <v>38</v>
      </c>
      <c r="C17" s="91">
        <f ca="1">C15/C6</f>
        <v>4.4394738972076089E-2</v>
      </c>
      <c r="D17" s="91">
        <f t="shared" ref="D17:E17" ca="1" si="11">D15/D6</f>
        <v>0.12448872832369941</v>
      </c>
      <c r="E17" s="91">
        <f t="shared" ca="1" si="11"/>
        <v>4.3339118582462519E-2</v>
      </c>
      <c r="F17" s="25"/>
      <c r="G17" s="25" t="s">
        <v>36</v>
      </c>
      <c r="H17" s="25"/>
      <c r="I17" s="25"/>
      <c r="J17" s="25"/>
      <c r="K17" s="116" t="s">
        <v>38</v>
      </c>
      <c r="L17" s="117">
        <f ca="1">L$15/L$6</f>
        <v>4.4394738972076089E-2</v>
      </c>
      <c r="M17" s="118">
        <f t="shared" ref="M17:N17" ca="1" si="12">M$15/M$6</f>
        <v>0.12448872832369941</v>
      </c>
      <c r="N17" s="119">
        <f t="shared" ca="1" si="12"/>
        <v>4.3339118582462519E-2</v>
      </c>
    </row>
    <row r="18" spans="2:14" s="82" customFormat="1" x14ac:dyDescent="0.25">
      <c r="F18" s="25"/>
      <c r="G18" s="25"/>
      <c r="H18" s="25"/>
      <c r="I18" s="25"/>
      <c r="J18" s="25"/>
    </row>
    <row r="19" spans="2:14" s="82" customFormat="1" x14ac:dyDescent="0.25">
      <c r="C19" s="25"/>
      <c r="D19" s="25"/>
      <c r="E19" s="25"/>
      <c r="F19" s="25"/>
      <c r="G19" s="25"/>
      <c r="H19" s="25"/>
      <c r="I19" s="25"/>
      <c r="J19" s="25"/>
    </row>
    <row r="20" spans="2:14" s="82" customFormat="1" x14ac:dyDescent="0.25">
      <c r="C20" s="25"/>
      <c r="D20" s="25"/>
      <c r="E20" s="25"/>
      <c r="F20" s="25"/>
      <c r="J20" s="25"/>
    </row>
    <row r="21" spans="2:14" s="82" customFormat="1" x14ac:dyDescent="0.25">
      <c r="C21" s="25"/>
      <c r="D21" s="25"/>
      <c r="E21" s="25"/>
      <c r="F21" s="25"/>
      <c r="J21" s="25"/>
    </row>
    <row r="22" spans="2:14" s="82" customFormat="1" x14ac:dyDescent="0.25">
      <c r="B22" s="25"/>
      <c r="C22" s="25"/>
      <c r="D22" s="25"/>
      <c r="E22" s="25"/>
      <c r="F22" s="25"/>
      <c r="J22" s="25"/>
    </row>
    <row r="23" spans="2:14" s="82" customFormat="1" x14ac:dyDescent="0.2"/>
    <row r="24" spans="2:14" s="82" customFormat="1" x14ac:dyDescent="0.2"/>
    <row r="25" spans="2:14" s="82" customFormat="1" x14ac:dyDescent="0.2">
      <c r="B25" s="83"/>
    </row>
    <row r="26" spans="2:14" s="82" customFormat="1" x14ac:dyDescent="0.2">
      <c r="B26" s="83"/>
    </row>
    <row r="27" spans="2:14" s="82" customFormat="1" x14ac:dyDescent="0.2">
      <c r="B27" s="83"/>
    </row>
    <row r="28" spans="2:14" s="82" customFormat="1" x14ac:dyDescent="0.2"/>
    <row r="29" spans="2:14" s="82" customFormat="1" x14ac:dyDescent="0.2">
      <c r="B29" s="84"/>
    </row>
    <row r="30" spans="2:14" s="82" customFormat="1" x14ac:dyDescent="0.2">
      <c r="B30" s="83"/>
    </row>
    <row r="31" spans="2:14" s="82" customFormat="1" x14ac:dyDescent="0.2">
      <c r="B31" s="83"/>
    </row>
    <row r="32" spans="2:14" s="82" customFormat="1" x14ac:dyDescent="0.2">
      <c r="G32" s="85"/>
      <c r="H32" s="85"/>
      <c r="I32" s="85"/>
    </row>
    <row r="33" spans="2:10" x14ac:dyDescent="0.25">
      <c r="B33" s="85"/>
      <c r="C33" s="85"/>
      <c r="D33" s="85"/>
      <c r="E33" s="85"/>
      <c r="F33" s="85"/>
      <c r="J33" s="82"/>
    </row>
  </sheetData>
  <sheetProtection algorithmName="SHA-512" hashValue="PQkLdCTr7pi/H56R/xHXmC5Yi+qft6jHOMxM08MQ6bSlPU6Hm977LAFhxwiPg9KwsQyYzgLR81aZe7nx/rFGhg==" saltValue="7ie/NvEvPYwCJHmhpz4XKg==" spinCount="100000" sheet="1" objects="1" scenarios="1" formatCells="0"/>
  <customSheetViews>
    <customSheetView guid="{F48879B3-465F-4E59-8572-F7D7277CEA75}" scale="74" showGridLines="0">
      <selection activeCell="G12" sqref="G12:I12"/>
      <pageMargins left="0.75" right="0.75" top="1" bottom="1" header="0.5" footer="0.5"/>
      <pageSetup orientation="portrait" horizontalDpi="1200" verticalDpi="1200" r:id="rId1"/>
      <headerFooter alignWithMargins="0"/>
    </customSheetView>
    <customSheetView guid="{3B654179-D0CF-4576-A51B-BDA963916BB0}" scale="74" showGridLines="0">
      <selection activeCell="G12" sqref="G12:I12"/>
      <pageMargins left="0.75" right="0.75" top="1" bottom="1" header="0.5" footer="0.5"/>
      <pageSetup orientation="portrait" horizontalDpi="1200" verticalDpi="1200" r:id="rId2"/>
      <headerFooter alignWithMargins="0"/>
    </customSheetView>
  </customSheetViews>
  <mergeCells count="16">
    <mergeCell ref="B16:E16"/>
    <mergeCell ref="K7:N7"/>
    <mergeCell ref="K11:N11"/>
    <mergeCell ref="K13:N13"/>
    <mergeCell ref="K16:N16"/>
    <mergeCell ref="G13:H13"/>
    <mergeCell ref="G14:H14"/>
    <mergeCell ref="B13:E13"/>
    <mergeCell ref="G12:I12"/>
    <mergeCell ref="K4:N5"/>
    <mergeCell ref="K3:N3"/>
    <mergeCell ref="B1:N1"/>
    <mergeCell ref="B7:E7"/>
    <mergeCell ref="B11:E11"/>
    <mergeCell ref="B4:E5"/>
    <mergeCell ref="G4:I4"/>
  </mergeCells>
  <phoneticPr fontId="2" type="noConversion"/>
  <pageMargins left="0.75" right="0.75" top="1" bottom="1" header="0.5" footer="0.5"/>
  <pageSetup orientation="portrait" horizontalDpi="1200" verticalDpi="1200"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M33"/>
  <sheetViews>
    <sheetView showGridLines="0" tabSelected="1" zoomScale="80" zoomScaleNormal="80" workbookViewId="0">
      <selection activeCell="J5" sqref="J5"/>
    </sheetView>
  </sheetViews>
  <sheetFormatPr defaultColWidth="9.140625" defaultRowHeight="16.5" x14ac:dyDescent="0.3"/>
  <cols>
    <col min="1" max="1" width="9.140625" style="8"/>
    <col min="2" max="2" width="29" style="8" customWidth="1"/>
    <col min="3" max="12" width="14.28515625" style="8" customWidth="1"/>
    <col min="13" max="16384" width="9.140625" style="8"/>
  </cols>
  <sheetData>
    <row r="1" spans="2:13" ht="240.75" customHeight="1" thickBot="1" x14ac:dyDescent="0.35">
      <c r="B1" s="454" t="s">
        <v>128</v>
      </c>
      <c r="C1" s="455"/>
      <c r="D1" s="455"/>
      <c r="E1" s="455"/>
      <c r="F1" s="455"/>
      <c r="G1" s="455"/>
      <c r="H1" s="455"/>
      <c r="I1" s="455"/>
      <c r="J1" s="455"/>
      <c r="K1" s="455"/>
      <c r="L1" s="456"/>
      <c r="M1" s="120"/>
    </row>
    <row r="2" spans="2:13" ht="17.25" thickBot="1" x14ac:dyDescent="0.35"/>
    <row r="3" spans="2:13" ht="30.75" customHeight="1" thickBot="1" x14ac:dyDescent="0.35">
      <c r="B3" s="457" t="s">
        <v>90</v>
      </c>
      <c r="C3" s="458"/>
      <c r="D3" s="458"/>
      <c r="E3" s="458"/>
      <c r="F3" s="458"/>
      <c r="G3" s="458"/>
      <c r="H3" s="458"/>
      <c r="I3" s="458"/>
      <c r="J3" s="458"/>
      <c r="K3" s="458"/>
      <c r="L3" s="459"/>
    </row>
    <row r="4" spans="2:13" ht="30.75" customHeight="1" thickBot="1" x14ac:dyDescent="0.35">
      <c r="B4" s="121" t="s">
        <v>73</v>
      </c>
      <c r="C4" s="122" t="s">
        <v>43</v>
      </c>
      <c r="D4" s="122" t="s">
        <v>44</v>
      </c>
      <c r="E4" s="122" t="s">
        <v>45</v>
      </c>
      <c r="F4" s="122" t="s">
        <v>46</v>
      </c>
      <c r="G4" s="122" t="s">
        <v>47</v>
      </c>
      <c r="H4" s="122" t="s">
        <v>48</v>
      </c>
      <c r="I4" s="122" t="s">
        <v>49</v>
      </c>
      <c r="J4" s="122" t="s">
        <v>50</v>
      </c>
      <c r="K4" s="122" t="s">
        <v>51</v>
      </c>
      <c r="L4" s="123" t="s">
        <v>52</v>
      </c>
    </row>
    <row r="5" spans="2:13" ht="30.75" customHeight="1" thickBot="1" x14ac:dyDescent="0.35">
      <c r="B5" s="127" t="s">
        <v>53</v>
      </c>
      <c r="C5" s="275">
        <f t="shared" ref="C5:C11" ca="1" si="0">RANDBETWEEN(0,4)</f>
        <v>0</v>
      </c>
      <c r="D5" s="276">
        <f t="shared" ref="D5:D11" ca="1" si="1">RANDBETWEEN(18,33)</f>
        <v>26</v>
      </c>
      <c r="E5" s="277">
        <f t="shared" ref="E5:E11" ca="1" si="2">RANDBETWEEN(28,55)</f>
        <v>30</v>
      </c>
      <c r="F5" s="128">
        <f ca="1">IF(E5&gt;$C$15,$C$15*D5,E5*D5)</f>
        <v>780</v>
      </c>
      <c r="G5" s="128">
        <f t="shared" ref="G5:G11" ca="1" si="3">IF(E5&gt;$C$15,(E5-$C$15)*(D5*$C$16),0)</f>
        <v>0</v>
      </c>
      <c r="H5" s="128">
        <f ca="1">G5+F5</f>
        <v>780</v>
      </c>
      <c r="I5" s="128">
        <f ca="1">H5-($C$17*C5)</f>
        <v>780</v>
      </c>
      <c r="J5" s="128"/>
      <c r="K5" s="129" t="s">
        <v>96</v>
      </c>
      <c r="L5" s="130" t="s">
        <v>96</v>
      </c>
    </row>
    <row r="6" spans="2:13" ht="30.75" customHeight="1" thickBot="1" x14ac:dyDescent="0.35">
      <c r="B6" s="131" t="s">
        <v>54</v>
      </c>
      <c r="C6" s="278">
        <f t="shared" ca="1" si="0"/>
        <v>4</v>
      </c>
      <c r="D6" s="279">
        <f t="shared" ca="1" si="1"/>
        <v>27</v>
      </c>
      <c r="E6" s="280">
        <f t="shared" ca="1" si="2"/>
        <v>39</v>
      </c>
      <c r="F6" s="128">
        <f t="shared" ref="F6:F11" ca="1" si="4">IF(E6&gt;$C$15,$C$15*D6,E6*D6)</f>
        <v>1053</v>
      </c>
      <c r="G6" s="128">
        <f t="shared" ca="1" si="3"/>
        <v>0</v>
      </c>
      <c r="H6" s="128">
        <f t="shared" ref="H6:H11" ca="1" si="5">G6+F6</f>
        <v>1053</v>
      </c>
      <c r="I6" s="128">
        <f t="shared" ref="I6:I11" ca="1" si="6">H6-($C$17*C6)</f>
        <v>763</v>
      </c>
      <c r="J6" s="132" t="s">
        <v>96</v>
      </c>
      <c r="K6" s="133" t="s">
        <v>96</v>
      </c>
      <c r="L6" s="134" t="s">
        <v>96</v>
      </c>
    </row>
    <row r="7" spans="2:13" ht="30.75" customHeight="1" thickBot="1" x14ac:dyDescent="0.35">
      <c r="B7" s="131" t="s">
        <v>55</v>
      </c>
      <c r="C7" s="278">
        <f t="shared" ca="1" si="0"/>
        <v>0</v>
      </c>
      <c r="D7" s="279">
        <f t="shared" ca="1" si="1"/>
        <v>26</v>
      </c>
      <c r="E7" s="280">
        <f t="shared" ca="1" si="2"/>
        <v>46</v>
      </c>
      <c r="F7" s="128">
        <f t="shared" ca="1" si="4"/>
        <v>1040</v>
      </c>
      <c r="G7" s="128">
        <f t="shared" ca="1" si="3"/>
        <v>234</v>
      </c>
      <c r="H7" s="128">
        <f t="shared" ca="1" si="5"/>
        <v>1274</v>
      </c>
      <c r="I7" s="128">
        <f t="shared" ca="1" si="6"/>
        <v>1274</v>
      </c>
      <c r="J7" s="132" t="s">
        <v>96</v>
      </c>
      <c r="K7" s="133" t="s">
        <v>96</v>
      </c>
      <c r="L7" s="134" t="s">
        <v>96</v>
      </c>
    </row>
    <row r="8" spans="2:13" ht="30.75" customHeight="1" thickBot="1" x14ac:dyDescent="0.35">
      <c r="B8" s="131" t="s">
        <v>56</v>
      </c>
      <c r="C8" s="278">
        <f t="shared" ca="1" si="0"/>
        <v>3</v>
      </c>
      <c r="D8" s="279">
        <f t="shared" ca="1" si="1"/>
        <v>26</v>
      </c>
      <c r="E8" s="280">
        <f t="shared" ca="1" si="2"/>
        <v>42</v>
      </c>
      <c r="F8" s="128">
        <f t="shared" ca="1" si="4"/>
        <v>1040</v>
      </c>
      <c r="G8" s="128">
        <f t="shared" ca="1" si="3"/>
        <v>78</v>
      </c>
      <c r="H8" s="128">
        <f t="shared" ca="1" si="5"/>
        <v>1118</v>
      </c>
      <c r="I8" s="128">
        <f t="shared" ca="1" si="6"/>
        <v>900.5</v>
      </c>
      <c r="J8" s="132" t="s">
        <v>96</v>
      </c>
      <c r="K8" s="133" t="s">
        <v>96</v>
      </c>
      <c r="L8" s="134" t="s">
        <v>96</v>
      </c>
    </row>
    <row r="9" spans="2:13" ht="30.75" customHeight="1" thickBot="1" x14ac:dyDescent="0.35">
      <c r="B9" s="131" t="s">
        <v>57</v>
      </c>
      <c r="C9" s="278">
        <f t="shared" ca="1" si="0"/>
        <v>1</v>
      </c>
      <c r="D9" s="279">
        <f t="shared" ca="1" si="1"/>
        <v>23</v>
      </c>
      <c r="E9" s="280">
        <f t="shared" ca="1" si="2"/>
        <v>38</v>
      </c>
      <c r="F9" s="128">
        <f t="shared" ca="1" si="4"/>
        <v>874</v>
      </c>
      <c r="G9" s="128">
        <f t="shared" ca="1" si="3"/>
        <v>0</v>
      </c>
      <c r="H9" s="128">
        <f t="shared" ca="1" si="5"/>
        <v>874</v>
      </c>
      <c r="I9" s="128">
        <f t="shared" ca="1" si="6"/>
        <v>801.5</v>
      </c>
      <c r="J9" s="132" t="s">
        <v>96</v>
      </c>
      <c r="K9" s="133" t="s">
        <v>96</v>
      </c>
      <c r="L9" s="134" t="s">
        <v>96</v>
      </c>
    </row>
    <row r="10" spans="2:13" ht="30.75" customHeight="1" thickBot="1" x14ac:dyDescent="0.35">
      <c r="B10" s="131" t="s">
        <v>58</v>
      </c>
      <c r="C10" s="278">
        <f t="shared" ca="1" si="0"/>
        <v>1</v>
      </c>
      <c r="D10" s="279">
        <f t="shared" ca="1" si="1"/>
        <v>21</v>
      </c>
      <c r="E10" s="280">
        <f t="shared" ca="1" si="2"/>
        <v>50</v>
      </c>
      <c r="F10" s="128">
        <f t="shared" ca="1" si="4"/>
        <v>840</v>
      </c>
      <c r="G10" s="128">
        <f t="shared" ca="1" si="3"/>
        <v>315</v>
      </c>
      <c r="H10" s="128">
        <f t="shared" ca="1" si="5"/>
        <v>1155</v>
      </c>
      <c r="I10" s="128">
        <f t="shared" ca="1" si="6"/>
        <v>1082.5</v>
      </c>
      <c r="J10" s="132" t="s">
        <v>96</v>
      </c>
      <c r="K10" s="133" t="s">
        <v>96</v>
      </c>
      <c r="L10" s="134" t="s">
        <v>96</v>
      </c>
    </row>
    <row r="11" spans="2:13" ht="30.75" customHeight="1" thickBot="1" x14ac:dyDescent="0.35">
      <c r="B11" s="135" t="s">
        <v>59</v>
      </c>
      <c r="C11" s="281">
        <f t="shared" ca="1" si="0"/>
        <v>3</v>
      </c>
      <c r="D11" s="282">
        <f t="shared" ca="1" si="1"/>
        <v>30</v>
      </c>
      <c r="E11" s="283">
        <f t="shared" ca="1" si="2"/>
        <v>34</v>
      </c>
      <c r="F11" s="128">
        <f t="shared" ca="1" si="4"/>
        <v>1020</v>
      </c>
      <c r="G11" s="128">
        <f t="shared" ca="1" si="3"/>
        <v>0</v>
      </c>
      <c r="H11" s="128">
        <f t="shared" ca="1" si="5"/>
        <v>1020</v>
      </c>
      <c r="I11" s="128">
        <f t="shared" ca="1" si="6"/>
        <v>802.5</v>
      </c>
      <c r="J11" s="136" t="s">
        <v>96</v>
      </c>
      <c r="K11" s="137" t="s">
        <v>96</v>
      </c>
      <c r="L11" s="138" t="s">
        <v>96</v>
      </c>
    </row>
    <row r="12" spans="2:13" ht="30.75" customHeight="1" thickBot="1" x14ac:dyDescent="0.35">
      <c r="B12" s="460" t="s">
        <v>60</v>
      </c>
      <c r="C12" s="461"/>
      <c r="D12" s="461"/>
      <c r="E12" s="462"/>
      <c r="F12" s="139">
        <f ca="1">SUM(F5:F11)</f>
        <v>6647</v>
      </c>
      <c r="G12" s="139" t="s">
        <v>96</v>
      </c>
      <c r="H12" s="139" t="s">
        <v>96</v>
      </c>
      <c r="I12" s="139" t="s">
        <v>96</v>
      </c>
      <c r="J12" s="139" t="s">
        <v>96</v>
      </c>
      <c r="K12" s="140" t="s">
        <v>96</v>
      </c>
      <c r="L12" s="141" t="s">
        <v>96</v>
      </c>
    </row>
    <row r="13" spans="2:13" ht="30.75" customHeight="1" thickBot="1" x14ac:dyDescent="0.35"/>
    <row r="14" spans="2:13" ht="30.75" customHeight="1" thickBot="1" x14ac:dyDescent="0.35">
      <c r="B14" s="460" t="s">
        <v>61</v>
      </c>
      <c r="C14" s="462"/>
      <c r="D14" s="25"/>
      <c r="E14" s="25"/>
      <c r="F14" s="25"/>
      <c r="G14" s="25"/>
      <c r="H14" s="149" t="s">
        <v>49</v>
      </c>
      <c r="I14" s="150" t="s">
        <v>62</v>
      </c>
      <c r="J14" s="25"/>
      <c r="K14" s="25"/>
      <c r="L14" s="25"/>
    </row>
    <row r="15" spans="2:13" ht="30.75" customHeight="1" x14ac:dyDescent="0.3">
      <c r="B15" s="142" t="s">
        <v>80</v>
      </c>
      <c r="C15" s="143">
        <v>40</v>
      </c>
      <c r="H15" s="151">
        <v>0</v>
      </c>
      <c r="I15" s="152">
        <v>0.15</v>
      </c>
    </row>
    <row r="16" spans="2:13" ht="30.75" customHeight="1" x14ac:dyDescent="0.3">
      <c r="B16" s="284" t="s">
        <v>81</v>
      </c>
      <c r="C16" s="145">
        <v>1.5</v>
      </c>
      <c r="H16" s="153">
        <v>250</v>
      </c>
      <c r="I16" s="154">
        <v>0.2</v>
      </c>
    </row>
    <row r="17" spans="1:13" ht="30.75" customHeight="1" x14ac:dyDescent="0.3">
      <c r="B17" s="284" t="s">
        <v>63</v>
      </c>
      <c r="C17" s="146">
        <v>72.5</v>
      </c>
      <c r="H17" s="153">
        <v>500</v>
      </c>
      <c r="I17" s="154">
        <v>0.24</v>
      </c>
    </row>
    <row r="18" spans="1:13" ht="30.75" customHeight="1" thickBot="1" x14ac:dyDescent="0.35">
      <c r="B18" s="285" t="s">
        <v>93</v>
      </c>
      <c r="C18" s="148">
        <v>7.6499999999999999E-2</v>
      </c>
      <c r="H18" s="153">
        <v>750</v>
      </c>
      <c r="I18" s="154">
        <v>0.28999999999999998</v>
      </c>
    </row>
    <row r="19" spans="1:13" ht="30.75" customHeight="1" thickBot="1" x14ac:dyDescent="0.35">
      <c r="H19" s="155">
        <v>1000</v>
      </c>
      <c r="I19" s="156">
        <v>0.33</v>
      </c>
    </row>
    <row r="20" spans="1:13" ht="30.75" customHeight="1" thickBot="1" x14ac:dyDescent="0.35">
      <c r="B20" s="25"/>
      <c r="C20" s="25"/>
      <c r="D20" s="25"/>
      <c r="E20" s="25"/>
      <c r="F20" s="25"/>
      <c r="G20" s="25"/>
      <c r="H20" s="25"/>
      <c r="I20" s="25"/>
      <c r="J20" s="25"/>
      <c r="K20" s="25"/>
      <c r="L20" s="25"/>
      <c r="M20" s="25"/>
    </row>
    <row r="21" spans="1:13" ht="30.75" customHeight="1" thickBot="1" x14ac:dyDescent="0.35">
      <c r="B21" s="463" t="s">
        <v>99</v>
      </c>
      <c r="C21" s="464"/>
      <c r="D21" s="464"/>
      <c r="E21" s="464"/>
      <c r="F21" s="464"/>
      <c r="G21" s="464"/>
      <c r="H21" s="464"/>
      <c r="I21" s="464"/>
      <c r="J21" s="464"/>
      <c r="K21" s="464"/>
      <c r="L21" s="465"/>
      <c r="M21" s="25"/>
    </row>
    <row r="22" spans="1:13" ht="30.75" customHeight="1" thickBot="1" x14ac:dyDescent="0.35">
      <c r="B22" s="451" t="s">
        <v>90</v>
      </c>
      <c r="C22" s="452"/>
      <c r="D22" s="452"/>
      <c r="E22" s="452"/>
      <c r="F22" s="452"/>
      <c r="G22" s="452"/>
      <c r="H22" s="452"/>
      <c r="I22" s="452"/>
      <c r="J22" s="452"/>
      <c r="K22" s="452"/>
      <c r="L22" s="453"/>
    </row>
    <row r="23" spans="1:13" ht="30.75" customHeight="1" thickBot="1" x14ac:dyDescent="0.35">
      <c r="B23" s="124" t="s">
        <v>73</v>
      </c>
      <c r="C23" s="125" t="s">
        <v>43</v>
      </c>
      <c r="D23" s="125" t="s">
        <v>44</v>
      </c>
      <c r="E23" s="125" t="s">
        <v>45</v>
      </c>
      <c r="F23" s="125" t="s">
        <v>46</v>
      </c>
      <c r="G23" s="125" t="s">
        <v>47</v>
      </c>
      <c r="H23" s="125" t="s">
        <v>48</v>
      </c>
      <c r="I23" s="125" t="s">
        <v>49</v>
      </c>
      <c r="J23" s="125" t="s">
        <v>50</v>
      </c>
      <c r="K23" s="125" t="s">
        <v>51</v>
      </c>
      <c r="L23" s="126" t="s">
        <v>52</v>
      </c>
    </row>
    <row r="24" spans="1:13" ht="30.75" customHeight="1" x14ac:dyDescent="0.3">
      <c r="B24" s="157" t="s">
        <v>53</v>
      </c>
      <c r="C24" s="158">
        <f ca="1">C5</f>
        <v>0</v>
      </c>
      <c r="D24" s="159">
        <f t="shared" ref="D24:E24" ca="1" si="7">D5</f>
        <v>26</v>
      </c>
      <c r="E24" s="160">
        <f t="shared" ca="1" si="7"/>
        <v>30</v>
      </c>
      <c r="F24" s="161">
        <f ca="1">IF(E24&gt;$C$15,$C$15*D24,E24*D24)</f>
        <v>780</v>
      </c>
      <c r="G24" s="161">
        <f ca="1">IF(E24&gt;$C$15,(E24-$C$15)*D24*$C$16,0)</f>
        <v>0</v>
      </c>
      <c r="H24" s="161">
        <f ca="1">F24+G24</f>
        <v>780</v>
      </c>
      <c r="I24" s="161">
        <f ca="1">IF(C24&gt;0,H24-(C24*$C$17),H24)</f>
        <v>780</v>
      </c>
      <c r="J24" s="161">
        <f ca="1">VLOOKUP(I24,$H$15:$I$19,2)*I24</f>
        <v>226.2</v>
      </c>
      <c r="K24" s="162">
        <f ca="1">H24*$C$18</f>
        <v>59.67</v>
      </c>
      <c r="L24" s="163">
        <f ca="1">H24-J24-K24</f>
        <v>494.12999999999994</v>
      </c>
    </row>
    <row r="25" spans="1:13" ht="30.75" customHeight="1" x14ac:dyDescent="0.3">
      <c r="B25" s="164" t="s">
        <v>54</v>
      </c>
      <c r="C25" s="165">
        <f t="shared" ref="C25:E25" ca="1" si="8">C6</f>
        <v>4</v>
      </c>
      <c r="D25" s="166">
        <f t="shared" ca="1" si="8"/>
        <v>27</v>
      </c>
      <c r="E25" s="167">
        <f t="shared" ca="1" si="8"/>
        <v>39</v>
      </c>
      <c r="F25" s="168">
        <f t="shared" ref="F25:F30" ca="1" si="9">IF(E25&gt;$C$15,$C$15*D25,E25*D25)</f>
        <v>1053</v>
      </c>
      <c r="G25" s="168">
        <f t="shared" ref="G25:G30" ca="1" si="10">IF(E25&gt;$C$15,(E25-$C$15)*D25*$C$16,0)</f>
        <v>0</v>
      </c>
      <c r="H25" s="168">
        <f t="shared" ref="H25:H30" ca="1" si="11">F25+G25</f>
        <v>1053</v>
      </c>
      <c r="I25" s="168">
        <f t="shared" ref="I25:I30" ca="1" si="12">IF(C25&gt;0,H25-(C25*$C$17),H25)</f>
        <v>763</v>
      </c>
      <c r="J25" s="168">
        <f t="shared" ref="J25:J30" ca="1" si="13">VLOOKUP(I25,$H$15:$I$19,2)*I25</f>
        <v>221.26999999999998</v>
      </c>
      <c r="K25" s="169">
        <f t="shared" ref="K25:K30" ca="1" si="14">H25*$C$18</f>
        <v>80.554500000000004</v>
      </c>
      <c r="L25" s="170">
        <f t="shared" ref="L25:L30" ca="1" si="15">H25-J25-K25</f>
        <v>751.17550000000006</v>
      </c>
    </row>
    <row r="26" spans="1:13" ht="30.75" customHeight="1" x14ac:dyDescent="0.3">
      <c r="B26" s="164" t="s">
        <v>55</v>
      </c>
      <c r="C26" s="165">
        <f t="shared" ref="C26:E26" ca="1" si="16">C7</f>
        <v>0</v>
      </c>
      <c r="D26" s="166">
        <f t="shared" ca="1" si="16"/>
        <v>26</v>
      </c>
      <c r="E26" s="167">
        <f t="shared" ca="1" si="16"/>
        <v>46</v>
      </c>
      <c r="F26" s="168">
        <f t="shared" ca="1" si="9"/>
        <v>1040</v>
      </c>
      <c r="G26" s="168">
        <f t="shared" ca="1" si="10"/>
        <v>234</v>
      </c>
      <c r="H26" s="168">
        <f t="shared" ca="1" si="11"/>
        <v>1274</v>
      </c>
      <c r="I26" s="168">
        <f t="shared" ca="1" si="12"/>
        <v>1274</v>
      </c>
      <c r="J26" s="168">
        <f t="shared" ca="1" si="13"/>
        <v>420.42</v>
      </c>
      <c r="K26" s="169">
        <f t="shared" ca="1" si="14"/>
        <v>97.460999999999999</v>
      </c>
      <c r="L26" s="170">
        <f t="shared" ca="1" si="15"/>
        <v>756.11899999999991</v>
      </c>
    </row>
    <row r="27" spans="1:13" ht="30.75" customHeight="1" x14ac:dyDescent="0.3">
      <c r="B27" s="164" t="s">
        <v>56</v>
      </c>
      <c r="C27" s="165">
        <f t="shared" ref="C27:E27" ca="1" si="17">C8</f>
        <v>3</v>
      </c>
      <c r="D27" s="166">
        <f t="shared" ca="1" si="17"/>
        <v>26</v>
      </c>
      <c r="E27" s="167">
        <f t="shared" ca="1" si="17"/>
        <v>42</v>
      </c>
      <c r="F27" s="168">
        <f t="shared" ca="1" si="9"/>
        <v>1040</v>
      </c>
      <c r="G27" s="168">
        <f t="shared" ca="1" si="10"/>
        <v>78</v>
      </c>
      <c r="H27" s="168">
        <f t="shared" ca="1" si="11"/>
        <v>1118</v>
      </c>
      <c r="I27" s="168">
        <f t="shared" ca="1" si="12"/>
        <v>900.5</v>
      </c>
      <c r="J27" s="168">
        <f t="shared" ca="1" si="13"/>
        <v>261.14499999999998</v>
      </c>
      <c r="K27" s="169">
        <f t="shared" ca="1" si="14"/>
        <v>85.527000000000001</v>
      </c>
      <c r="L27" s="170">
        <f t="shared" ca="1" si="15"/>
        <v>771.32799999999997</v>
      </c>
    </row>
    <row r="28" spans="1:13" ht="30.75" customHeight="1" x14ac:dyDescent="0.3">
      <c r="A28" s="25"/>
      <c r="B28" s="164" t="s">
        <v>57</v>
      </c>
      <c r="C28" s="165">
        <f t="shared" ref="C28:E28" ca="1" si="18">C9</f>
        <v>1</v>
      </c>
      <c r="D28" s="166">
        <f t="shared" ca="1" si="18"/>
        <v>23</v>
      </c>
      <c r="E28" s="167">
        <f t="shared" ca="1" si="18"/>
        <v>38</v>
      </c>
      <c r="F28" s="168">
        <f t="shared" ca="1" si="9"/>
        <v>874</v>
      </c>
      <c r="G28" s="168">
        <f t="shared" ca="1" si="10"/>
        <v>0</v>
      </c>
      <c r="H28" s="168">
        <f t="shared" ca="1" si="11"/>
        <v>874</v>
      </c>
      <c r="I28" s="168">
        <f t="shared" ca="1" si="12"/>
        <v>801.5</v>
      </c>
      <c r="J28" s="168">
        <f t="shared" ca="1" si="13"/>
        <v>232.43499999999997</v>
      </c>
      <c r="K28" s="169">
        <f t="shared" ca="1" si="14"/>
        <v>66.861000000000004</v>
      </c>
      <c r="L28" s="170">
        <f t="shared" ca="1" si="15"/>
        <v>574.70400000000006</v>
      </c>
    </row>
    <row r="29" spans="1:13" ht="30.75" customHeight="1" x14ac:dyDescent="0.3">
      <c r="A29" s="25"/>
      <c r="B29" s="164" t="s">
        <v>58</v>
      </c>
      <c r="C29" s="165">
        <f t="shared" ref="C29:E29" ca="1" si="19">C10</f>
        <v>1</v>
      </c>
      <c r="D29" s="166">
        <f t="shared" ca="1" si="19"/>
        <v>21</v>
      </c>
      <c r="E29" s="167">
        <f t="shared" ca="1" si="19"/>
        <v>50</v>
      </c>
      <c r="F29" s="168">
        <f t="shared" ca="1" si="9"/>
        <v>840</v>
      </c>
      <c r="G29" s="168">
        <f t="shared" ca="1" si="10"/>
        <v>315</v>
      </c>
      <c r="H29" s="168">
        <f t="shared" ca="1" si="11"/>
        <v>1155</v>
      </c>
      <c r="I29" s="168">
        <f t="shared" ca="1" si="12"/>
        <v>1082.5</v>
      </c>
      <c r="J29" s="168">
        <f t="shared" ca="1" si="13"/>
        <v>357.22500000000002</v>
      </c>
      <c r="K29" s="169">
        <f t="shared" ca="1" si="14"/>
        <v>88.357500000000002</v>
      </c>
      <c r="L29" s="170">
        <f t="shared" ca="1" si="15"/>
        <v>709.41750000000002</v>
      </c>
    </row>
    <row r="30" spans="1:13" ht="30.75" customHeight="1" thickBot="1" x14ac:dyDescent="0.35">
      <c r="A30" s="25"/>
      <c r="B30" s="171" t="s">
        <v>59</v>
      </c>
      <c r="C30" s="172">
        <f t="shared" ref="C30:E30" ca="1" si="20">C11</f>
        <v>3</v>
      </c>
      <c r="D30" s="173">
        <f t="shared" ca="1" si="20"/>
        <v>30</v>
      </c>
      <c r="E30" s="174">
        <f t="shared" ca="1" si="20"/>
        <v>34</v>
      </c>
      <c r="F30" s="175">
        <f t="shared" ca="1" si="9"/>
        <v>1020</v>
      </c>
      <c r="G30" s="175">
        <f t="shared" ca="1" si="10"/>
        <v>0</v>
      </c>
      <c r="H30" s="175">
        <f t="shared" ca="1" si="11"/>
        <v>1020</v>
      </c>
      <c r="I30" s="175">
        <f t="shared" ca="1" si="12"/>
        <v>802.5</v>
      </c>
      <c r="J30" s="175">
        <f t="shared" ca="1" si="13"/>
        <v>232.72499999999999</v>
      </c>
      <c r="K30" s="176">
        <f t="shared" ca="1" si="14"/>
        <v>78.03</v>
      </c>
      <c r="L30" s="177">
        <f t="shared" ca="1" si="15"/>
        <v>709.245</v>
      </c>
    </row>
    <row r="31" spans="1:13" ht="30.75" customHeight="1" thickBot="1" x14ac:dyDescent="0.35">
      <c r="A31" s="25"/>
      <c r="B31" s="451" t="s">
        <v>60</v>
      </c>
      <c r="C31" s="452"/>
      <c r="D31" s="452"/>
      <c r="E31" s="453"/>
      <c r="F31" s="178">
        <f ca="1">SUM(F24:F30)</f>
        <v>6647</v>
      </c>
      <c r="G31" s="178">
        <f t="shared" ref="G31:L31" ca="1" si="21">SUM(G24:G30)</f>
        <v>627</v>
      </c>
      <c r="H31" s="178">
        <f t="shared" ca="1" si="21"/>
        <v>7274</v>
      </c>
      <c r="I31" s="178">
        <f t="shared" ca="1" si="21"/>
        <v>6404</v>
      </c>
      <c r="J31" s="178">
        <f t="shared" ca="1" si="21"/>
        <v>1951.4199999999996</v>
      </c>
      <c r="K31" s="179">
        <f t="shared" ca="1" si="21"/>
        <v>556.46100000000001</v>
      </c>
      <c r="L31" s="180">
        <f t="shared" ca="1" si="21"/>
        <v>4766.1189999999997</v>
      </c>
    </row>
    <row r="32" spans="1:13" x14ac:dyDescent="0.3">
      <c r="A32" s="25"/>
      <c r="B32" s="25"/>
      <c r="C32" s="25"/>
      <c r="D32" s="25"/>
      <c r="E32" s="25"/>
      <c r="F32" s="25"/>
      <c r="G32" s="25"/>
      <c r="H32" s="25"/>
      <c r="I32" s="25"/>
      <c r="J32" s="25"/>
      <c r="K32" s="25"/>
      <c r="L32" s="25"/>
    </row>
    <row r="33" spans="1:12" x14ac:dyDescent="0.3">
      <c r="A33" s="25"/>
      <c r="B33" s="25"/>
      <c r="C33" s="25"/>
      <c r="D33" s="25"/>
      <c r="E33" s="25"/>
      <c r="F33" s="25"/>
      <c r="G33" s="25"/>
      <c r="H33" s="25"/>
      <c r="I33" s="25"/>
      <c r="J33" s="25"/>
      <c r="K33" s="25"/>
      <c r="L33" s="25"/>
    </row>
  </sheetData>
  <sheetProtection algorithmName="SHA-512" hashValue="GtfTZg08AnD6BXpXUUVT7gndSpzgAFw3Amn/GHX47/p+LH+qUME9UbzR2/jl7G4FR2WHZS2gzYz14euxUgJcfg==" saltValue="eDd9WER73eRqMFsQ0s+QVg==" spinCount="100000" sheet="1" objects="1" scenarios="1" formatCells="0"/>
  <customSheetViews>
    <customSheetView guid="{F48879B3-465F-4E59-8572-F7D7277CEA75}" scale="80" showGridLines="0" topLeftCell="A7">
      <selection activeCell="K31" sqref="K31"/>
      <pageMargins left="0.7" right="0.7" top="0.75" bottom="0.75" header="0.3" footer="0.3"/>
    </customSheetView>
    <customSheetView guid="{3B654179-D0CF-4576-A51B-BDA963916BB0}" scale="80" showGridLines="0" topLeftCell="A4">
      <selection activeCell="F5" sqref="F5"/>
      <pageMargins left="0.7" right="0.7" top="0.75" bottom="0.75" header="0.3" footer="0.3"/>
    </customSheetView>
  </customSheetViews>
  <mergeCells count="7">
    <mergeCell ref="B31:E31"/>
    <mergeCell ref="B1:L1"/>
    <mergeCell ref="B3:L3"/>
    <mergeCell ref="B12:E12"/>
    <mergeCell ref="B14:C14"/>
    <mergeCell ref="B21:L21"/>
    <mergeCell ref="B22:L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4" baseType="variant">
      <vt:variant>
        <vt:lpstr>Worksheets</vt:lpstr>
      </vt:variant>
      <vt:variant>
        <vt:i4>10</vt:i4>
      </vt:variant>
      <vt:variant>
        <vt:lpstr>Charts</vt:lpstr>
      </vt:variant>
      <vt:variant>
        <vt:i4>2</vt:i4>
      </vt:variant>
    </vt:vector>
  </HeadingPairs>
  <TitlesOfParts>
    <vt:vector size="12" baseType="lpstr">
      <vt:lpstr>Team ID</vt:lpstr>
      <vt:lpstr>Part 1</vt:lpstr>
      <vt:lpstr>Part 2</vt:lpstr>
      <vt:lpstr>Part 3</vt:lpstr>
      <vt:lpstr>Part 4</vt:lpstr>
      <vt:lpstr>Part 5</vt:lpstr>
      <vt:lpstr>Part 6</vt:lpstr>
      <vt:lpstr>Part 7</vt:lpstr>
      <vt:lpstr>Part 8</vt:lpstr>
      <vt:lpstr>Part 9</vt:lpstr>
      <vt:lpstr>Chart1</vt:lpstr>
      <vt:lpstr>Chart2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McIntosh,Warren D</dc:creator>
  <cp:lastModifiedBy>Gregorio,Pedro Michael</cp:lastModifiedBy>
  <cp:lastPrinted>1901-01-01T04:00:00Z</cp:lastPrinted>
  <dcterms:created xsi:type="dcterms:W3CDTF">1901-01-01T04:00:00Z</dcterms:created>
  <dcterms:modified xsi:type="dcterms:W3CDTF">2016-03-22T19:36:26Z</dcterms:modified>
</cp:coreProperties>
</file>